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oding Projects\belegger-kees-methode\05-Resources\Templates\"/>
    </mc:Choice>
  </mc:AlternateContent>
  <xr:revisionPtr revIDLastSave="0" documentId="13_ncr:1_{D6340B9E-58AA-48EC-863C-B578356EB026}" xr6:coauthVersionLast="47" xr6:coauthVersionMax="47" xr10:uidLastSave="{00000000-0000-0000-0000-000000000000}"/>
  <bookViews>
    <workbookView xWindow="-120" yWindow="-120" windowWidth="29040" windowHeight="15720" xr2:uid="{00000000-000D-0000-FFFF-FFFF00000000}"/>
  </bookViews>
  <sheets>
    <sheet name="Lees mij" sheetId="1" r:id="rId1"/>
    <sheet name="Overzicht" sheetId="2" r:id="rId2"/>
    <sheet name="Bedrijfsinfo" sheetId="3" r:id="rId3"/>
    <sheet name="Bedrijf" sheetId="4" r:id="rId4"/>
    <sheet name="Markt" sheetId="5" r:id="rId5"/>
    <sheet name="Waardering" sheetId="6" r:id="rId6"/>
    <sheet name="Prijs en kwaliteit" sheetId="7" r:id="rId7"/>
    <sheet name="Management" sheetId="8" r:id="rId8"/>
    <sheet name="Checks" sheetId="9" r:id="rId9"/>
    <sheet name="Pre-mortem"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7" l="1"/>
  <c r="B32" i="6"/>
  <c r="B15" i="6"/>
  <c r="B25" i="6" s="1"/>
  <c r="B14" i="6"/>
  <c r="B13" i="6"/>
  <c r="B7" i="5"/>
  <c r="E46" i="3"/>
  <c r="B2" i="6" s="1"/>
  <c r="B9" i="6" s="1"/>
  <c r="D46" i="3"/>
  <c r="C46" i="3"/>
  <c r="B46" i="3"/>
  <c r="E44" i="3"/>
  <c r="D44" i="3"/>
  <c r="C44" i="3"/>
  <c r="B44" i="3"/>
  <c r="E42" i="3"/>
  <c r="B18" i="6" s="1"/>
  <c r="D42" i="3"/>
  <c r="C42" i="3"/>
  <c r="B42" i="3"/>
  <c r="E40" i="3"/>
  <c r="D40" i="3"/>
  <c r="C40" i="3"/>
  <c r="B40" i="3"/>
  <c r="E36" i="3"/>
  <c r="D36" i="3"/>
  <c r="C36" i="3"/>
  <c r="B29" i="3"/>
  <c r="B30" i="3" s="1"/>
  <c r="B31" i="3" s="1"/>
  <c r="B23" i="3"/>
  <c r="B24" i="3" s="1"/>
  <c r="B25" i="2"/>
  <c r="B24" i="2"/>
  <c r="B23" i="2"/>
  <c r="B22" i="2"/>
  <c r="C19" i="2"/>
  <c r="B19" i="2"/>
  <c r="C18" i="2"/>
  <c r="B18" i="2"/>
  <c r="C17" i="2"/>
  <c r="B17" i="2"/>
  <c r="C16" i="2"/>
  <c r="B16" i="2"/>
  <c r="C15" i="2"/>
  <c r="B15" i="2"/>
  <c r="B11" i="2"/>
  <c r="B10" i="2"/>
  <c r="B9" i="2"/>
  <c r="B8" i="2"/>
  <c r="K23" i="6" l="1"/>
  <c r="K24" i="6" s="1"/>
  <c r="K25" i="6" s="1"/>
  <c r="K26" i="6" s="1"/>
  <c r="J23" i="6"/>
  <c r="J24" i="6" s="1"/>
  <c r="J25" i="6" s="1"/>
  <c r="J26" i="6" s="1"/>
  <c r="I23" i="6"/>
  <c r="I24" i="6" s="1"/>
  <c r="I25" i="6" s="1"/>
  <c r="I26" i="6" s="1"/>
  <c r="F23" i="6"/>
  <c r="F24" i="6" s="1"/>
  <c r="F25" i="6" s="1"/>
  <c r="F26" i="6" s="1"/>
  <c r="M23" i="6"/>
  <c r="M24" i="6" s="1"/>
  <c r="M25" i="6" s="1"/>
  <c r="M26" i="6" s="1"/>
  <c r="H23" i="6"/>
  <c r="H24" i="6" s="1"/>
  <c r="H25" i="6" s="1"/>
  <c r="H26" i="6" s="1"/>
  <c r="E23" i="6"/>
  <c r="E24" i="6" s="1"/>
  <c r="E25" i="6" s="1"/>
  <c r="E26" i="6" s="1"/>
  <c r="L23" i="6"/>
  <c r="L24" i="6" s="1"/>
  <c r="L25" i="6" s="1"/>
  <c r="L26" i="6" s="1"/>
  <c r="G23" i="6"/>
  <c r="G24" i="6" s="1"/>
  <c r="G25" i="6" s="1"/>
  <c r="G26" i="6" s="1"/>
  <c r="D23" i="6"/>
  <c r="D24" i="6" s="1"/>
  <c r="D25" i="6" s="1"/>
  <c r="D26" i="6" s="1"/>
  <c r="C23" i="6"/>
  <c r="C24" i="6" s="1"/>
  <c r="C25" i="6" s="1"/>
  <c r="B38" i="6"/>
  <c r="B4" i="6"/>
  <c r="B30" i="6" l="1"/>
  <c r="C26" i="6"/>
  <c r="B28" i="6" s="1"/>
  <c r="B29" i="6" s="1"/>
  <c r="B39" i="6"/>
  <c r="B40" i="6"/>
</calcChain>
</file>

<file path=xl/sharedStrings.xml><?xml version="1.0" encoding="utf-8"?>
<sst xmlns="http://schemas.openxmlformats.org/spreadsheetml/2006/main" count="315" uniqueCount="290">
  <si>
    <t>Snelle analyse: kiezen waar mijn volgende twintig uur heen gaan</t>
  </si>
  <si>
    <t>Doel</t>
  </si>
  <si>
    <t>Dit bestand is mijn snelle analyse van één bedrijf in zes fasen. Het beantwoordt één vraag: wil ik ongeveer twintig uur verder onderzoek aan dit bedrijf besteden, of staat er een betere kandidaat op mijn lijst? Ik kijk eerst naar wat fout kan gaan en pas daarna naar wat goed kan gaan.</t>
  </si>
  <si>
    <t>Zo gebruik je dit bestand</t>
  </si>
  <si>
    <t>Kopieer dit bestand naar de werkmap van het bedrijf en geef het de bedrijfsnaam. Vul de incheck op Overzicht in en begin bij Bedrijfsinfo.</t>
  </si>
  <si>
    <t>Werk de fasen in volgorde: Bedrijfsinfo (fase 0), Bedrijf (1), Markt (2), Waardering (3), Prijs en kwaliteit (4), Management (5). Elk antwoordvak is breed en groeit mee: schrijf drie tot vijf zinnen waar het ertoe doet, met de bron en de datum ernaast en hoe zeker je bent.</t>
  </si>
  <si>
    <t>Sluit elke fase af met je keuze (verder onderzoeken, later terugkomen, stoppen) en de kritieke bevinding. Overzicht haalt die vanzelf op. Eén belemmering kan genoeg zijn om te stoppen; je hoeft dan de rest niet af te maken.</t>
  </si>
  <si>
    <t>Vul op Checks de tien directe checks en de zes aanvullende vragen in. Er staat bewust geen totaalscore onder; de tellingen op Overzicht zijn informatie.</t>
  </si>
  <si>
    <t>Op Waardering staat de verkorte omgekeerde DCF met het winstmodel uit hoofdstuk 6. Zet de groei met Doelzoeken zo dat het verschil met de koers nul wordt: dat is de groei die de markt inprijst. Zet daaronder je eigen verwachting.</t>
  </si>
  <si>
    <t>Gaat de kandidaat door naar de uitgebreide analyse, vul dan Pre-mortem in: het is drie jaar later en het is tegengevallen, wat is er gebeurd. Sluit af op Overzicht met je keuze, de voorkeursvolgorde en de eerstvolgende stap, en werk het universumbestand bij.</t>
  </si>
  <si>
    <t>De tabbladen</t>
  </si>
  <si>
    <t>Overzicht: incheck, de keuze per fase, tellingen uit de checks en de afsluiting</t>
  </si>
  <si>
    <t>Bedrijfsinfo: fase 0: identificatie, koers en kapitaalstructuur met de ondernemingswaarde met en zonder leases, en de kerncijfers</t>
  </si>
  <si>
    <t>Bedrijf: fase 1: het verdienmodel, de balans en de kwaliteit van de cijfers</t>
  </si>
  <si>
    <t>Markt: fase 2: het parametermodel van de omzet, de markt en de concurrentie</t>
  </si>
  <si>
    <t>Waardering: fase 3: P/E en PEG, de verkorte omgekeerde DCF en je eerste eigen verwachting</t>
  </si>
  <si>
    <t>Prijs en kwaliteit: fase 4: de bear case van de markt en de twee scores van 1 tot 10</t>
  </si>
  <si>
    <t>Management: fase 5: beloofd tegenover gerealiseerd, kapitaalallocatie, eigen belang en taal</t>
  </si>
  <si>
    <t>Checks: de tien directe checks en zes aanvullende vragen met uitkomst, toelichting en bron</t>
  </si>
  <si>
    <t>Pre-mortem: het scenario waarin het tegenvalt, en de signalen die je gaat volgen</t>
  </si>
  <si>
    <t>Kleuren</t>
  </si>
  <si>
    <t>Lichtblauw: een invoercel. Hier vul jij iets in.</t>
  </si>
  <si>
    <t>Geen kleur: een formule. Deze cellen rekenen zichzelf uit; pas ze niet aan.</t>
  </si>
  <si>
    <t>Lichtgeel: een controlecel. Hier staat In orde, of een melding die om aandacht vraagt.</t>
  </si>
  <si>
    <t>Grijs: een kopregel.</t>
  </si>
  <si>
    <t>Koers, marktkapitalisatie en P/E koppelen aan het gegevenstype Aandelen</t>
  </si>
  <si>
    <t>1. Selecteer de cel met de ticker en kies in het lint Gegevens, groep Gegevenstypen, de optie Aandelen. Excel zet de ticker om in een gekoppeld aandeel; controleer dat de juiste beurs is gekozen.</t>
  </si>
  <si>
    <t>2. Klik op het kleine tabelpictogram naast de gekoppelde cel en voeg de velden Prijs, Marktkapitalisatie en Koers-winstverhouding in. Excel zet ze in de kolommen rechts van de ticker.</t>
  </si>
  <si>
    <t>3. Verwijs vanuit de lichtblauwe cellen Koers, Marktkapitalisatie en P/E naar die ingevoegde velden, of plak de waarden erin met de datum erbij. Alle formules in dit bestand gebruiken die drie cellen, dus zodra ze gekoppeld zijn blijft alles actueel. Vernieuwen doe je met Gegevens, Alles vernieuwen.</t>
  </si>
  <si>
    <t>Werkt het gegevenstype niet, bijvoorbeeld bij een kleine notering, vul de drie cellen dan met de hand en zet de peildatum ernaast.</t>
  </si>
  <si>
    <t>Status: werkversie, nog niet getoetst in een echte doorloop. Bijgewerkt op 12 september 2026. Auteur: Kees van Wanrooij, Belegger Kees.</t>
  </si>
  <si>
    <t>Dit is educatie en geen persoonlijk beleggingsadvies. Je beslist zelf; beleggen brengt risico mee.</t>
  </si>
  <si>
    <t>Waar de uitleg staat</t>
  </si>
  <si>
    <t>De werkwijze staat in 03-Analyseproces/02-Snel-Analyseren.md.</t>
  </si>
  <si>
    <t>De gedachte erachter staat in 02-Manifesto/04-Snelle-Analyse.md; de checks in 03-Analyseproces/Bijlagen/02-NoGo-Checks.md; het rekenwerk in 02-Manifesto/06-DCF-Model.md.</t>
  </si>
  <si>
    <t>De prompts per fase staan in 05-Resources/AI-Prompts/prompts-library.md.</t>
  </si>
  <si>
    <t>Incheck</t>
  </si>
  <si>
    <t>Gewenste uitkomst van deze sessie</t>
  </si>
  <si>
    <t>Hoe ik dat bereik</t>
  </si>
  <si>
    <t>Waaraan ik zie dat het af is</t>
  </si>
  <si>
    <t>Houding: filteren, niet verzamelen</t>
  </si>
  <si>
    <t>Bedrijf</t>
  </si>
  <si>
    <t>Ticker en beurs</t>
  </si>
  <si>
    <t>Analysedatum</t>
  </si>
  <si>
    <t>Koers en peildatum</t>
  </si>
  <si>
    <t>Per fase: mijn keuze en de kritieke bevinding</t>
  </si>
  <si>
    <t>Fase</t>
  </si>
  <si>
    <t>Keuze</t>
  </si>
  <si>
    <t>Kritieke bevinding of reden</t>
  </si>
  <si>
    <t>1. Business snap</t>
  </si>
  <si>
    <t>2. Markt en groeiruimte</t>
  </si>
  <si>
    <t>3. Waardering</t>
  </si>
  <si>
    <t>4. Prijs en kwaliteit</t>
  </si>
  <si>
    <t>5. Management</t>
  </si>
  <si>
    <t>Tellingen uit de checks: informatie, geen score</t>
  </si>
  <si>
    <t>Belemmering</t>
  </si>
  <si>
    <t>Onbekend</t>
  </si>
  <si>
    <t>Geen belemmering</t>
  </si>
  <si>
    <t>Kwaliteitsscore en prijsscore</t>
  </si>
  <si>
    <t>Afsluiting</t>
  </si>
  <si>
    <t>Keuze voor deze kandidaat</t>
  </si>
  <si>
    <t>Terugkomdatum, bij Later terugkomen</t>
  </si>
  <si>
    <t>Reden in maximaal tien regels</t>
  </si>
  <si>
    <t>Voorkeursvolgorde tegenover mijn andere kandidaten</t>
  </si>
  <si>
    <t>Belangrijkste open vraag</t>
  </si>
  <si>
    <t>Eerstvolgende stap</t>
  </si>
  <si>
    <t>Identificatie</t>
  </si>
  <si>
    <t>Bedrijfsnaam</t>
  </si>
  <si>
    <t>Ticker</t>
  </si>
  <si>
    <t>ISIN</t>
  </si>
  <si>
    <t>Beurs</t>
  </si>
  <si>
    <t>Land van notering</t>
  </si>
  <si>
    <t>Boekhoudstandaard</t>
  </si>
  <si>
    <t>IFRS of US GAAP bepaalt hoe ik leases, ontwikkelkosten en de vrije kasstroom lees; zie hoofdstuk 6.</t>
  </si>
  <si>
    <t>Rapportagevaluta</t>
  </si>
  <si>
    <t>Valuta van de notering</t>
  </si>
  <si>
    <t>Eenheid van de bedragen hieronder</t>
  </si>
  <si>
    <t>Duizenden of miljoenen, zoals in het jaarverslag.</t>
  </si>
  <si>
    <t>Verslagperiode laatste jaarverslag</t>
  </si>
  <si>
    <t>Lynch-categorie</t>
  </si>
  <si>
    <t>Snelle groeier, stalwart, cyclisch, turnaround, langzame groeier of activaspel.</t>
  </si>
  <si>
    <t>Universum waaruit de naam komt</t>
  </si>
  <si>
    <t>Koers en kapitaalstructuur</t>
  </si>
  <si>
    <t>Koers (koppel aan Aandelen)</t>
  </si>
  <si>
    <t>Peildatum koers</t>
  </si>
  <si>
    <t>Aandelen uitstaand</t>
  </si>
  <si>
    <t>Op balansdatum, in de eenheid hierboven.</t>
  </si>
  <si>
    <t>Aandelen verwaterd</t>
  </si>
  <si>
    <t>Gewogen gemiddeld verwaterd aantal uit de winst per aandeel.</t>
  </si>
  <si>
    <t>Marktkapitalisatie (koppel aan Aandelen)</t>
  </si>
  <si>
    <t>Marktkapitalisatie berekend</t>
  </si>
  <si>
    <t>Koers maal verwaterd aantal aandelen.</t>
  </si>
  <si>
    <t>Verschil gekoppeld en berekend</t>
  </si>
  <si>
    <t>Meer dan 5 procent verschil betekent meestal een andere eenheid of een andere aandelenreeks.</t>
  </si>
  <si>
    <t>Cash en equivalenten</t>
  </si>
  <si>
    <t>Zonder restricted cash.</t>
  </si>
  <si>
    <t>Financiële schuld</t>
  </si>
  <si>
    <t>Kort en lang, zonder leaseverplichtingen.</t>
  </si>
  <si>
    <t>Leaseverplichtingen</t>
  </si>
  <si>
    <t>IFRS 16 of ASC 842, apart van de schuld.</t>
  </si>
  <si>
    <t>Minderheidsbelangen</t>
  </si>
  <si>
    <t>Nettoschuld zonder leases</t>
  </si>
  <si>
    <t>Ondernemingswaarde zonder leases</t>
  </si>
  <si>
    <t>Marktkapitalisatie plus nettoschuld plus minderheidsbelangen.</t>
  </si>
  <si>
    <t>Ondernemingswaarde met leases</t>
  </si>
  <si>
    <t>Voor een vergelijking met een sectorgenoot: bij allebei dezelfde basis.</t>
  </si>
  <si>
    <t>Kerncijfers, uit het jaarverslag</t>
  </si>
  <si>
    <t>Cijfer</t>
  </si>
  <si>
    <t>Bron en toelichting</t>
  </si>
  <si>
    <t>Omzet</t>
  </si>
  <si>
    <t>Omzetgroei</t>
  </si>
  <si>
    <t>Brutomarge</t>
  </si>
  <si>
    <t>EBIT-marge</t>
  </si>
  <si>
    <t>Nettowinst voor gewone aandeelhouders</t>
  </si>
  <si>
    <t>Nettomarge</t>
  </si>
  <si>
    <t>Vrije kasstroom zoals het bedrijf die rapporteert, na leasebetalingen</t>
  </si>
  <si>
    <t>Kasstroomconversie (vrije kasstroom gedeeld door nettowinst)</t>
  </si>
  <si>
    <t>Aandelenbeloning</t>
  </si>
  <si>
    <t>Winst per aandeel, verwaterd</t>
  </si>
  <si>
    <t>Nettoschuld gedeeld door EBITDA</t>
  </si>
  <si>
    <t>Rendement op eigen vermogen</t>
  </si>
  <si>
    <t>Vraag</t>
  </si>
  <si>
    <t>Antwoord, drie tot vijf zinnen waar nodig</t>
  </si>
  <si>
    <t>Bron en datum</t>
  </si>
  <si>
    <t>Onzekerheid</t>
  </si>
  <si>
    <t>Gevolg voor mijn afweging</t>
  </si>
  <si>
    <t>Verdienmodel: wie betaalt waarvoor, en waarom komt die klant terug? In drie tot vijf zinnen, zonder jargon.</t>
  </si>
  <si>
    <t>Welk deel van de omzet is terugkerend, en hoe zeker is dat deel?</t>
  </si>
  <si>
    <t>Is de groei van de laatste jaren structureel, of kwam ze uit een eenmalige oorzaak (overname, subsidie, inhaalvraag)?</t>
  </si>
  <si>
    <t>Kan dit bedrijf in tien jaar drie tot vijf keer zo groot worden? Waar komt die groei vandaan?</t>
  </si>
  <si>
    <t>Balans: hoeveel schuld, tegen welke rente, met welke looptijden, en hoeveel cash staat ertegenover?</t>
  </si>
  <si>
    <t>Kan het bedrijf twee slechte jaren financieren zonder nieuwe aandelen of noodfinanciering?</t>
  </si>
  <si>
    <t>Kwaliteit van de cijfers: sluiten winst en kasstroom op elkaar aan, welke aangepaste maatstaven gebruikt het bedrijf, hoe groot is de aandelenbeloning?</t>
  </si>
  <si>
    <t>Wat begrijp ik nog niet, en welke bron zou dat oplossen?</t>
  </si>
  <si>
    <t>Fase 1, business snap: mijn keuze</t>
  </si>
  <si>
    <t>Kritieke bevinding of reden, in een paar zinnen</t>
  </si>
  <si>
    <t>Parametermodel van de omzet</t>
  </si>
  <si>
    <t>Parameter</t>
  </si>
  <si>
    <t>Waarde nu</t>
  </si>
  <si>
    <t>Historie in vijf jaar</t>
  </si>
  <si>
    <t>Grens of plafond, met reden</t>
  </si>
  <si>
    <t>Parameter 1 (bijvoorbeeld aantal clubs)</t>
  </si>
  <si>
    <t>Parameter 2 (bijvoorbeeld leden per club)</t>
  </si>
  <si>
    <t>Parameter 3 (bijvoorbeeld omzet per lid per jaar)</t>
  </si>
  <si>
    <t>Omzet volgens de parameters (product van de drie)</t>
  </si>
  <si>
    <t>Vergelijk met de gerapporteerde omzet op Bedrijfsinfo; een verschil laat zien wat het model mist.</t>
  </si>
  <si>
    <t>Hoe groot is de markt en hoe hard groeit hij? Bron en jaar van de schatting erbij; een cijfer van het bedrijf zelf krijgt het label bedrijfsclaim.</t>
  </si>
  <si>
    <t>Welk marktaandeel heeft het bedrijf nu, en in welke fase van penetratie zit het: rond 20, 50 of 80 procent van wat haalbaar is?</t>
  </si>
  <si>
    <t>Wie zijn de drie grootste concurrenten, en wie wint of verliest marktaandeel in de laatste twee tot drie jaar?</t>
  </si>
  <si>
    <t>Waarom kiezen klanten voor dit bedrijf boven de concurrent, en hoe houdbaar is dat voordeel over vijf jaar?</t>
  </si>
  <si>
    <t>Operationele hefboom: stijgt de marge mee met de omzet, en welke kosten en investeringen horen bij elke stap groei?</t>
  </si>
  <si>
    <t>Wat is de bear case op de marktpositie: waarom kan het marktaandeel over vijf jaar lager zijn?</t>
  </si>
  <si>
    <t>Fase 2, markt en groeiruimte: mijn keuze</t>
  </si>
  <si>
    <t>A. Koers-winstverhouding en PEG</t>
  </si>
  <si>
    <t>P/E nu, uit Bedrijfsinfo</t>
  </si>
  <si>
    <t>Verwachte winstgroei per jaar, komende jaren</t>
  </si>
  <si>
    <t>Uit de historie en de guidance; als getal, dus 0,15 bij 15 procent.</t>
  </si>
  <si>
    <t>PEG</t>
  </si>
  <si>
    <t>Rond 1 tot 1,5 is aanleiding om verder te kijken; boven 2 vraagt uitleg. Geen automatische afwijzing.</t>
  </si>
  <si>
    <t>Historische P/E, laagste in vijf tot tien jaar</t>
  </si>
  <si>
    <t>Uit een koersgrafiek met P/E over vijf tot tien jaar.</t>
  </si>
  <si>
    <t>Historische P/E, gemiddeld</t>
  </si>
  <si>
    <t>Historische P/E, hoogste</t>
  </si>
  <si>
    <t>P/E van vergelijkbare bedrijven, mediaan</t>
  </si>
  <si>
    <t>Positie tegenover de eigen historie</t>
  </si>
  <si>
    <t>B. Verkorte omgekeerde DCF: welke groei prijst de koers in?</t>
  </si>
  <si>
    <t>Vul de invoer in en zet de groei zo dat het verschil met de koers nul wordt: Gegevens, Wat-als-analyse, Doelzoeken, cel Verschil op 0 door cel Groei te wijzigen.</t>
  </si>
  <si>
    <t>Nettowinst laatste twaalf maanden, uit Bedrijfsinfo</t>
  </si>
  <si>
    <t>Aandelen verwaterd, uit Bedrijfsinfo</t>
  </si>
  <si>
    <t>Koers, uit Bedrijfsinfo</t>
  </si>
  <si>
    <t>Discount rate</t>
  </si>
  <si>
    <t>Doorgaans 8 tot 12 procent; zie hoofdstuk 6.</t>
  </si>
  <si>
    <t>Exit P/E op de winst van jaar 11</t>
  </si>
  <si>
    <t>Vertrekpunt: 12 tot 15 voor een uitgegroeid bedrijf, 15 tot 20 voor een bedrijf dat nog groeit.</t>
  </si>
  <si>
    <t>Kasstroomconversie, vrije kasstroom gedeeld door nettowinst</t>
  </si>
  <si>
    <t>Vooringevuld met de conversie van de laatste twaalf maanden; overschrijf als je een andere verwachting hebt.</t>
  </si>
  <si>
    <t>Groei van de nettowinst per jaar (Doelzoeken past deze aan)</t>
  </si>
  <si>
    <t>De ingeprijsde groei die eruit komt is niet de enige verklaring van de koers; ze hangt af van de andere aannames.</t>
  </si>
  <si>
    <t>Jaar</t>
  </si>
  <si>
    <t>Nettowinst</t>
  </si>
  <si>
    <t>Vrije kasstroom voor de aandeelhouder</t>
  </si>
  <si>
    <t>Per aandeel, inclusief eindwaarde in jaar 11</t>
  </si>
  <si>
    <t>Contante waarde per aandeel</t>
  </si>
  <si>
    <t>Modelwaarde per aandeel bij deze groei</t>
  </si>
  <si>
    <t>Verschil met de koers (Doelzoeken: zet dit op 0)</t>
  </si>
  <si>
    <t>Intern rendement bij de huidige koers en deze groei</t>
  </si>
  <si>
    <t>Bij een groei die de koers precies verklaart, is dit gelijk aan de discount rate.</t>
  </si>
  <si>
    <t>Historische winstgroei per jaar, vijf jaar</t>
  </si>
  <si>
    <t>Uit de jaarverslagen.</t>
  </si>
  <si>
    <t>Ingeprijsde groei tegenover historische groei</t>
  </si>
  <si>
    <t>Negatief: de markt verwacht minder dan het bedrijf historisch liet zien. Positief: meer.</t>
  </si>
  <si>
    <t>C. Mijn eerste eigen verwachting</t>
  </si>
  <si>
    <t>Mijn groei van de nettowinst per jaar</t>
  </si>
  <si>
    <t>Uit het parametermodel op het tabblad Markt.</t>
  </si>
  <si>
    <t>Mijn kasstroomconversie</t>
  </si>
  <si>
    <t>Mijn exit P/E</t>
  </si>
  <si>
    <t>Waarde per aandeel bij mijn verwachting</t>
  </si>
  <si>
    <t>Koersruimte: (waarde min koers) gedeeld door koers</t>
  </si>
  <si>
    <t>Korting op de berekende waarde: (waarde min koers) gedeeld door waarde</t>
  </si>
  <si>
    <t>Fase 3, waardering: mijn keuze</t>
  </si>
  <si>
    <t>Twee scores van 1 tot 10</t>
  </si>
  <si>
    <t>Kwaliteitsscore, 1 tot 10</t>
  </si>
  <si>
    <t>Concurrentievoordeel, groeiruimte, bestuur, financiële gezondheid.</t>
  </si>
  <si>
    <t>Prijsscore, 1 tot 10</t>
  </si>
  <si>
    <t>P/E tegenover eigen historie, tegenover vergelijkbare bedrijven, en of de ingeprijsde groei realistisch is.</t>
  </si>
  <si>
    <t>Plaats in de matrix</t>
  </si>
  <si>
    <t>Wat is het verhaal van de markt over dit aandeel: waarom staat het waar het staat? De bear case die al bestaat, in mijn eigen woorden.</t>
  </si>
  <si>
    <t>Is dat verhaal tijdelijk (cyclus, sentiment, een eenmalig probleem) of structureel (het voordeel verdwijnt, disruptie)?</t>
  </si>
  <si>
    <t>Welke punten uit de bear case deel ik, en waar verschilt mijn verwachting?</t>
  </si>
  <si>
    <t>Wat is de bull case, met bewijs en zonder algemeenheden?</t>
  </si>
  <si>
    <t>Wat doen insiders en analisten: kopen of verkopen bestuurders, hoeveel analisten volgen het aandeel?</t>
  </si>
  <si>
    <t>Waar kan mijn eigen inzicht iets toevoegen, en is dat werkelijk relevant of wil ik het alleen graag?</t>
  </si>
  <si>
    <t>Hoeveel ruimte heeft het bedrijf bij prijs en kosten, en hoe herhaalbaar is de omzet?</t>
  </si>
  <si>
    <t>Fase 4, prijs en kwaliteit: mijn keuze</t>
  </si>
  <si>
    <t>Beloofd tegenover gerealiseerd, drie tot vijf jaar terug</t>
  </si>
  <si>
    <t>Wat het bestuur beloofde</t>
  </si>
  <si>
    <t>Bron en datum van de belofte</t>
  </si>
  <si>
    <t>Wat er van kwam</t>
  </si>
  <si>
    <t>Bron</t>
  </si>
  <si>
    <t>Oordeel</t>
  </si>
  <si>
    <t>Taal in de laatste earnings call</t>
  </si>
  <si>
    <t>Citaat</t>
  </si>
  <si>
    <t>Vindplaats (call, datum, minuut of pagina)</t>
  </si>
  <si>
    <t>Welke vraag roept dit bij mij op</t>
  </si>
  <si>
    <t>Wat ontbreekt of verschuift</t>
  </si>
  <si>
    <t>Kapitaalallocatie in vijf jaar: inkoop van aandelen (tegen welke koers), overnames (tegen welke prijs, met welk resultaat), dividend, verwatering.</t>
  </si>
  <si>
    <t>Eigen belang: welk percentage van de aandelen heeft het bestuur, zelf gekocht of ontvangen, en waaraan is de beloning gekoppeld?</t>
  </si>
  <si>
    <t>Insidertransacties in de laatste twaalf maanden: een patroon of losse verkopen?</t>
  </si>
  <si>
    <t>Wisselingen: is de financieel directeur of de accountant de laatste twee jaar vertrokken, en waarom?</t>
  </si>
  <si>
    <t>Zijn doelen stilletjes verschoven of zijn definities van kengetallen veranderd?</t>
  </si>
  <si>
    <t>Zou ik dit bestuur opnieuw mijn geld toevertrouwen als het morgen een nieuw bedrijf begon?</t>
  </si>
  <si>
    <t>Fase 5, management: mijn keuze</t>
  </si>
  <si>
    <t>Nr</t>
  </si>
  <si>
    <t>Check</t>
  </si>
  <si>
    <t>Waar het over gaat</t>
  </si>
  <si>
    <t>Uitkomst</t>
  </si>
  <si>
    <t>Toelichting</t>
  </si>
  <si>
    <t>Kan ik de beoogde positie praktisch uitvoeren?</t>
  </si>
  <si>
    <t>Notering, brokerbereikbaarheid, lotgrootte, liquiditeit, spread, valuta en kosten tegenover mijn gewenste positie.</t>
  </si>
  <si>
    <t>Hoe groot kan het bedrijf worden?</t>
  </si>
  <si>
    <t>Omzet uitgeschreven in een paar parameters, realistische grenzen en hun samenhang. Drie tot vijf keer in tien jaar als groeivraag.</t>
  </si>
  <si>
    <t>Begrijp ik hoe het bedrijf geld verdient?</t>
  </si>
  <si>
    <t>Verdienmodel en belangrijkste verwachting in gewone woorden.</t>
  </si>
  <si>
    <t>Wat levert extra omzet de aandeelhouder op?</t>
  </si>
  <si>
    <t>Kosten, marges, investeringen en ontwikkeling per aandeel; operationele hefboom en de kwetsbaarheid ervan.</t>
  </si>
  <si>
    <t>Wat zegt een eerste waarderingsvergelijking?</t>
  </si>
  <si>
    <t>Koers-winstverhouding naast verwachte winstgroei; PEG als richtlijn.</t>
  </si>
  <si>
    <t>Kan het bedrijf een tegenvaller financieren?</t>
  </si>
  <si>
    <t>Kaspositie, kasverbruik, schuld, looptijden, rente, convenanten, verwatering; twee slechte jaren als stresstest.</t>
  </si>
  <si>
    <t>Werkt het verdienmodel, of is een geloofwaardig pad zichtbaar?</t>
  </si>
  <si>
    <t>Houdbaarheid van de winst, of economie per klant, benodigde schaal en mijlpalen bij een verliesgevend bedrijf.</t>
  </si>
  <si>
    <t>Kan ik de financiële informatie voldoende begrijpen en controleren?</t>
  </si>
  <si>
    <t>Aansluiting winst, kasstroom en balans; gewijzigde definities, herzieningen, accountantsopmerkingen, aandelenbeloning.</t>
  </si>
  <si>
    <t>Welke risico's en verwachtingen zijn al zichtbaar in de markt?</t>
  </si>
  <si>
    <t>Bestaande kritiek in eigen woorden; welke punten deel ik, waar verschil ik.</t>
  </si>
  <si>
    <t>Welke aannames vraagt de prijs?</t>
  </si>
  <si>
    <t>Verkorte omgekeerde DCF: welke groei of marge verklaart de koers; verwacht rendement tegenover risico en alternatieven.</t>
  </si>
  <si>
    <t>Wie kijkt er al naar dit bedrijf?</t>
  </si>
  <si>
    <t>Openbare dekking, achtergrond en vragen van analisten.</t>
  </si>
  <si>
    <t>Waar kan mijn eigen inzicht iets toevoegen?</t>
  </si>
  <si>
    <t>Concrete ervaring, sectorbegrip, extra onderzoek; is het werkelijk relevant?</t>
  </si>
  <si>
    <t>Hoeveel ruimte heeft het bedrijf bij prijs en kosten?</t>
  </si>
  <si>
    <t>Prijzen, volume, klantgedrag, productmix, marges.</t>
  </si>
  <si>
    <t>Hoe herhaalbaar is de omzet?</t>
  </si>
  <si>
    <t>Contracten, verlenging, klantverlies, gebruik en concentratie.</t>
  </si>
  <si>
    <t>Hoe worden kapitaal en belangen behandeld?</t>
  </si>
  <si>
    <t>Investeringen, overnames, dividend, inkoop, beloning en insidertransacties.</t>
  </si>
  <si>
    <t>Wat valt mij op in de taal?</t>
  </si>
  <si>
    <t>Calls en antwoorden over meerdere perioden: welke maatstaf ontbreekt, welke termijn verandert, welk onderwerp blijft onbeantwoord.</t>
  </si>
  <si>
    <t>De eerste tien zijn directe checks: één belemmering kan genoeg zijn om te stoppen. De laatste zes zijn aanvullende vragen om kandidaten te vergelijken. Er staat bewust geen totaalscore onder; de tellingen op Overzicht zijn informatie, geen oordeel.</t>
  </si>
  <si>
    <t>Het is drie jaar later en deze belegging is tegengevallen</t>
  </si>
  <si>
    <t>Het verhaal: wat is er gebeurd, als terugblik, in een alinea</t>
  </si>
  <si>
    <t>De gebeurtenis die het veroorzaakte</t>
  </si>
  <si>
    <t>In welke periode het zichtbaar werd</t>
  </si>
  <si>
    <t>Het meetbare gevolg (welk cijfer veranderde, hoeveel)</t>
  </si>
  <si>
    <t>Het vroege signaal dat ik had kunnen zien</t>
  </si>
  <si>
    <t>De zwakste aanname in mijn analyse</t>
  </si>
  <si>
    <t>Wat ik in dit onderzoek heb weggewuifd of te licht gewogen</t>
  </si>
  <si>
    <t>Signalen die ik ga volgen</t>
  </si>
  <si>
    <t>Signaal</t>
  </si>
  <si>
    <t>Drempel waarbij ik mijn these herzie</t>
  </si>
  <si>
    <t>Waar het zichtbaar wordt</t>
  </si>
  <si>
    <t>Wanneer ik het controleer</t>
  </si>
  <si>
    <t>De gebeurtenis en de datum zijn verzonnen om de redenering te testen. Ze komen niet als nieuws in het dossier.</t>
  </si>
  <si>
    <t>TTM</t>
  </si>
  <si>
    <t>Aandelenbeloning %omzet</t>
  </si>
  <si>
    <t>Koers-winstverhouding TTM</t>
  </si>
  <si>
    <t>Verslagperiode laatste rapportage</t>
  </si>
  <si>
    <t>Op dezelfde boekhoudbasis. Afgelopen 12 maanden.</t>
  </si>
  <si>
    <t>Kwaliteit: hoe goed is het bedrijf? 10 is uitstekend.
Prijs: hoe laag is de waardering tegenover de eigen historie en vergelijkbare bedrijven? 10 is heel laag geprijsd.
Een goed bedrijf kan duur zijn en een slecht bedrijf goedkoop; ik zoek de beste combinatie van de twee.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</si>
</sst>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0.0%"/>
  </numFmts>
  <fonts count="6">
    <font>
      <sz val="11"/>
      <color theme="1"/>
      <name val="Calibri"/>
      <family val="2"/>
      <scheme val="minor"/>
    </font>
    <font>
      <b/>
      <sz val="11"/>
      <color rgb="FF1D1D1F"/>
      <name val="Inter"/>
    </font>
    <font>
      <b/>
      <sz val="10"/>
      <color rgb="FF1D1D1F"/>
      <name val="Inter"/>
    </font>
    <font>
      <sz val="10"/>
      <color rgb="FF1D1D1F"/>
      <name val="Inter"/>
    </font>
    <font>
      <sz val="10"/>
      <color rgb="FF68686D"/>
      <name val="Inter"/>
    </font>
    <font>
      <b/>
      <sz val="16"/>
      <color rgb="FFC4303C"/>
      <name val="Inter"/>
    </font>
  </fonts>
  <fills count="5">
    <fill>
      <patternFill patternType="none"/>
    </fill>
    <fill>
      <patternFill patternType="gray125"/>
    </fill>
    <fill>
      <patternFill patternType="solid">
        <fgColor rgb="FFDDEBF7"/>
      </patternFill>
    </fill>
    <fill>
      <patternFill patternType="solid">
        <fgColor rgb="FFFFF2CC"/>
      </patternFill>
    </fill>
    <fill>
      <patternFill patternType="solid">
        <fgColor rgb="FFF5F5F7"/>
      </patternFill>
    </fill>
  </fills>
  <borders count="4">
    <border>
      <left/>
      <right/>
      <top/>
      <bottom/>
      <diagonal/>
    </border>
    <border>
      <left style="thin">
        <color rgb="FFD2D2D7"/>
      </left>
      <right style="thin">
        <color rgb="FFD2D2D7"/>
      </right>
      <top style="thin">
        <color rgb="FFD2D2D7"/>
      </top>
      <bottom style="thin">
        <color rgb="FFD2D2D7"/>
      </bottom>
      <diagonal/>
    </border>
    <border>
      <left/>
      <right/>
      <top style="thin">
        <color rgb="FFD2D2D7"/>
      </top>
      <bottom style="thin">
        <color rgb="FFD2D2D7"/>
      </bottom>
      <diagonal/>
    </border>
    <border>
      <left/>
      <right style="thin">
        <color rgb="FFD2D2D7"/>
      </right>
      <top style="thin">
        <color rgb="FFD2D2D7"/>
      </top>
      <bottom style="thin">
        <color rgb="FFD2D2D7"/>
      </bottom>
      <diagonal/>
    </border>
  </borders>
  <cellStyleXfs count="1">
    <xf numFmtId="0" fontId="0" fillId="0" borderId="0"/>
  </cellStyleXfs>
  <cellXfs count="72">
    <xf numFmtId="0" fontId="0" fillId="0" borderId="0" xfId="0"/>
    <xf numFmtId="0" fontId="5" fillId="0" borderId="0" xfId="0" applyFont="1"/>
    <xf numFmtId="0" fontId="1" fillId="0" borderId="0" xfId="0" applyFont="1"/>
    <xf numFmtId="0" fontId="3" fillId="0" borderId="0" xfId="0" applyFont="1" applyAlignment="1">
      <alignment vertical="top" wrapText="1"/>
    </xf>
    <xf numFmtId="0" fontId="3" fillId="2" borderId="0" xfId="0" applyFont="1" applyFill="1" applyAlignment="1">
      <alignment wrapText="1"/>
    </xf>
    <xf numFmtId="0" fontId="3" fillId="0" borderId="0" xfId="0" applyFont="1" applyAlignment="1">
      <alignment wrapText="1"/>
    </xf>
    <xf numFmtId="0" fontId="3" fillId="3" borderId="0" xfId="0" applyFont="1" applyFill="1" applyAlignment="1">
      <alignment wrapText="1"/>
    </xf>
    <xf numFmtId="0" fontId="3" fillId="4" borderId="0" xfId="0" applyFont="1" applyFill="1" applyAlignment="1">
      <alignment wrapText="1"/>
    </xf>
    <xf numFmtId="0" fontId="4" fillId="0" borderId="0" xfId="0" applyFont="1" applyAlignment="1">
      <alignment wrapText="1"/>
    </xf>
    <xf numFmtId="0" fontId="2" fillId="0" borderId="0" xfId="0" applyFont="1" applyAlignment="1">
      <alignment vertical="top" wrapText="1"/>
    </xf>
    <xf numFmtId="0" fontId="3" fillId="2" borderId="1" xfId="0" applyFont="1" applyFill="1" applyBorder="1" applyAlignment="1">
      <alignment vertical="top" wrapText="1"/>
    </xf>
    <xf numFmtId="0" fontId="3" fillId="0" borderId="1" xfId="0" applyFont="1" applyBorder="1" applyAlignment="1">
      <alignment vertical="top" wrapText="1"/>
    </xf>
    <xf numFmtId="164" fontId="3" fillId="0" borderId="1" xfId="0" applyNumberFormat="1" applyFont="1" applyBorder="1" applyAlignment="1">
      <alignment vertical="top" wrapText="1"/>
    </xf>
    <xf numFmtId="4" fontId="3" fillId="0" borderId="1" xfId="0" applyNumberFormat="1" applyFont="1" applyBorder="1" applyAlignment="1">
      <alignment vertical="top" wrapText="1"/>
    </xf>
    <xf numFmtId="0" fontId="2" fillId="4" borderId="1" xfId="0" applyFont="1" applyFill="1" applyBorder="1"/>
    <xf numFmtId="0" fontId="3" fillId="0" borderId="0" xfId="0" applyFont="1"/>
    <xf numFmtId="0" fontId="3" fillId="0" borderId="1" xfId="0" applyFont="1" applyBorder="1"/>
    <xf numFmtId="3" fontId="3" fillId="0" borderId="1" xfId="0" applyNumberFormat="1" applyFont="1" applyBorder="1"/>
    <xf numFmtId="164" fontId="3" fillId="2" borderId="1" xfId="0" applyNumberFormat="1" applyFont="1" applyFill="1" applyBorder="1" applyAlignment="1">
      <alignment vertical="top" wrapText="1"/>
    </xf>
    <xf numFmtId="0" fontId="4" fillId="0" borderId="0" xfId="0" applyFont="1" applyAlignment="1">
      <alignment vertical="top" wrapText="1"/>
    </xf>
    <xf numFmtId="4" fontId="3" fillId="2" borderId="1" xfId="0" applyNumberFormat="1" applyFont="1" applyFill="1" applyBorder="1" applyAlignment="1">
      <alignment vertical="top" wrapText="1"/>
    </xf>
    <xf numFmtId="165" fontId="3" fillId="2" borderId="1" xfId="0" applyNumberFormat="1" applyFont="1" applyFill="1" applyBorder="1" applyAlignment="1">
      <alignment vertical="top" wrapText="1"/>
    </xf>
    <xf numFmtId="165" fontId="3" fillId="0" borderId="1" xfId="0" applyNumberFormat="1" applyFont="1" applyBorder="1" applyAlignment="1">
      <alignment vertical="top" wrapText="1"/>
    </xf>
    <xf numFmtId="166" fontId="3" fillId="3" borderId="1" xfId="0" applyNumberFormat="1" applyFont="1" applyFill="1" applyBorder="1" applyAlignment="1">
      <alignment vertical="top" wrapText="1"/>
    </xf>
    <xf numFmtId="0" fontId="2" fillId="4" borderId="1" xfId="0" applyFont="1" applyFill="1" applyBorder="1" applyAlignment="1">
      <alignment wrapText="1"/>
    </xf>
    <xf numFmtId="165" fontId="3" fillId="2" borderId="1" xfId="0" applyNumberFormat="1" applyFont="1" applyFill="1" applyBorder="1" applyAlignment="1">
      <alignment vertical="top"/>
    </xf>
    <xf numFmtId="166" fontId="3" fillId="0" borderId="1" xfId="0" applyNumberFormat="1" applyFont="1" applyBorder="1" applyAlignment="1">
      <alignment vertical="top"/>
    </xf>
    <xf numFmtId="166" fontId="3" fillId="2" borderId="1" xfId="0" applyNumberFormat="1" applyFont="1" applyFill="1" applyBorder="1" applyAlignment="1">
      <alignment vertical="top"/>
    </xf>
    <xf numFmtId="2" fontId="3" fillId="0" borderId="1" xfId="0" applyNumberFormat="1" applyFont="1" applyBorder="1" applyAlignment="1">
      <alignment vertical="top"/>
    </xf>
    <xf numFmtId="4" fontId="3" fillId="2" borderId="1" xfId="0" applyNumberFormat="1" applyFont="1" applyFill="1" applyBorder="1" applyAlignment="1">
      <alignment vertical="top"/>
    </xf>
    <xf numFmtId="2" fontId="3" fillId="2" borderId="1" xfId="0" applyNumberFormat="1" applyFont="1" applyFill="1" applyBorder="1" applyAlignment="1">
      <alignment vertical="top"/>
    </xf>
    <xf numFmtId="0" fontId="2" fillId="4" borderId="1" xfId="0" applyFont="1" applyFill="1" applyBorder="1" applyAlignment="1">
      <alignment vertical="center" wrapText="1"/>
    </xf>
    <xf numFmtId="0" fontId="2" fillId="0" borderId="0" xfId="0" applyFont="1"/>
    <xf numFmtId="165" fontId="0" fillId="0" borderId="1" xfId="0" applyNumberFormat="1" applyBorder="1"/>
    <xf numFmtId="2" fontId="3" fillId="0" borderId="1" xfId="0" applyNumberFormat="1" applyFont="1" applyBorder="1" applyAlignment="1">
      <alignment vertical="top" wrapText="1"/>
    </xf>
    <xf numFmtId="166" fontId="3" fillId="2" borderId="1" xfId="0" applyNumberFormat="1" applyFont="1" applyFill="1" applyBorder="1" applyAlignment="1">
      <alignment vertical="top" wrapText="1"/>
    </xf>
    <xf numFmtId="2" fontId="3" fillId="2" borderId="1" xfId="0" applyNumberFormat="1" applyFont="1" applyFill="1" applyBorder="1" applyAlignment="1">
      <alignment vertical="top" wrapText="1"/>
    </xf>
    <xf numFmtId="165" fontId="3" fillId="0" borderId="1" xfId="0" applyNumberFormat="1" applyFont="1" applyBorder="1" applyAlignment="1">
      <alignment vertical="top"/>
    </xf>
    <xf numFmtId="4" fontId="3" fillId="0" borderId="1" xfId="0" applyNumberFormat="1" applyFont="1" applyBorder="1" applyAlignment="1">
      <alignment vertical="top"/>
    </xf>
    <xf numFmtId="4" fontId="3" fillId="3" borderId="1" xfId="0" applyNumberFormat="1" applyFont="1" applyFill="1" applyBorder="1" applyAlignment="1">
      <alignment vertical="top" wrapText="1"/>
    </xf>
    <xf numFmtId="166" fontId="3" fillId="0" borderId="1" xfId="0" applyNumberFormat="1" applyFont="1" applyBorder="1" applyAlignment="1">
      <alignment vertical="top" wrapText="1"/>
    </xf>
    <xf numFmtId="0" fontId="4" fillId="0" borderId="0" xfId="0" applyFont="1"/>
    <xf numFmtId="0" fontId="2" fillId="4" borderId="1" xfId="0" applyFont="1" applyFill="1" applyBorder="1" applyAlignment="1">
      <alignment horizontal="right" wrapText="1"/>
    </xf>
    <xf numFmtId="0" fontId="2" fillId="0" borderId="0" xfId="0" applyFont="1" applyAlignment="1">
      <alignment horizontal="left" vertical="center" wrapText="1"/>
    </xf>
    <xf numFmtId="0" fontId="3" fillId="2" borderId="1" xfId="0" applyFont="1" applyFill="1" applyBorder="1" applyAlignment="1">
      <alignment horizontal="left" vertical="center" wrapText="1"/>
    </xf>
    <xf numFmtId="0" fontId="0" fillId="0" borderId="0" xfId="0" applyAlignment="1">
      <alignment horizontal="left" vertical="center"/>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vertical="top"/>
    </xf>
    <xf numFmtId="164" fontId="3" fillId="2" borderId="1" xfId="0" applyNumberFormat="1" applyFont="1" applyFill="1" applyBorder="1" applyAlignment="1">
      <alignment horizontal="left" vertical="top" wrapText="1"/>
    </xf>
    <xf numFmtId="0" fontId="3" fillId="0" borderId="0" xfId="0" applyFont="1" applyAlignment="1">
      <alignment horizontal="left" vertical="top"/>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3" fillId="2" borderId="1" xfId="0" applyFont="1" applyFill="1" applyBorder="1" applyAlignment="1">
      <alignment horizontal="left" vertical="center"/>
    </xf>
    <xf numFmtId="0" fontId="2" fillId="0" borderId="0" xfId="0" applyFont="1" applyAlignment="1">
      <alignment horizontal="left" vertical="center"/>
    </xf>
    <xf numFmtId="165" fontId="3" fillId="2" borderId="1" xfId="0" applyNumberFormat="1" applyFont="1" applyFill="1" applyBorder="1" applyAlignment="1">
      <alignment horizontal="left" vertical="center"/>
    </xf>
    <xf numFmtId="0" fontId="4" fillId="0" borderId="0" xfId="0" applyFont="1" applyAlignment="1">
      <alignment vertical="top"/>
    </xf>
    <xf numFmtId="3" fontId="3" fillId="2" borderId="1" xfId="0" applyNumberFormat="1" applyFont="1" applyFill="1" applyBorder="1" applyAlignment="1">
      <alignment horizontal="left" vertical="center"/>
    </xf>
    <xf numFmtId="0" fontId="4" fillId="0" borderId="0" xfId="0" applyFont="1" applyAlignment="1">
      <alignment horizontal="left" vertical="center"/>
    </xf>
    <xf numFmtId="0" fontId="3" fillId="0" borderId="1" xfId="0" applyFont="1" applyBorder="1" applyAlignment="1">
      <alignment horizontal="left" vertical="center" wrapText="1"/>
    </xf>
    <xf numFmtId="0" fontId="3" fillId="2" borderId="1" xfId="0" applyFont="1" applyFill="1" applyBorder="1" applyAlignment="1">
      <alignment horizontal="left" vertical="top" wrapText="1"/>
    </xf>
    <xf numFmtId="0" fontId="0" fillId="0" borderId="3" xfId="0" applyBorder="1" applyAlignment="1">
      <alignment horizontal="left" vertical="top"/>
    </xf>
    <xf numFmtId="0" fontId="3" fillId="2" borderId="1" xfId="0" applyFont="1" applyFill="1" applyBorder="1" applyAlignment="1">
      <alignment vertical="top" wrapText="1"/>
    </xf>
    <xf numFmtId="0" fontId="0" fillId="0" borderId="3" xfId="0" applyBorder="1"/>
    <xf numFmtId="0" fontId="4" fillId="0" borderId="0" xfId="0" applyFont="1" applyAlignment="1">
      <alignment wrapText="1"/>
    </xf>
    <xf numFmtId="0" fontId="0" fillId="0" borderId="0" xfId="0"/>
    <xf numFmtId="0" fontId="3" fillId="2" borderId="1" xfId="0" applyFont="1" applyFill="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1" xfId="0" applyBorder="1" applyAlignment="1">
      <alignment horizontal="left" vertical="center" wrapText="1"/>
    </xf>
    <xf numFmtId="0" fontId="4" fillId="0" borderId="0" xfId="0" applyFont="1" applyAlignment="1">
      <alignment vertical="center" wrapText="1"/>
    </xf>
    <xf numFmtId="0" fontId="0" fillId="0" borderId="0" xfId="0" applyAlignment="1">
      <alignment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3"/>
  <sheetViews>
    <sheetView showGridLines="0" tabSelected="1" topLeftCell="A9" workbookViewId="0">
      <selection activeCell="D22" sqref="D22"/>
    </sheetView>
  </sheetViews>
  <sheetFormatPr defaultRowHeight="15"/>
  <cols>
    <col min="1" max="1" width="118" customWidth="1"/>
  </cols>
  <sheetData>
    <row r="1" spans="1:1" ht="20.25">
      <c r="A1" s="1" t="s">
        <v>0</v>
      </c>
    </row>
    <row r="3" spans="1:1">
      <c r="A3" s="2" t="s">
        <v>1</v>
      </c>
    </row>
    <row r="4" spans="1:1" ht="38.25">
      <c r="A4" s="3" t="s">
        <v>2</v>
      </c>
    </row>
    <row r="6" spans="1:1">
      <c r="A6" s="2" t="s">
        <v>3</v>
      </c>
    </row>
    <row r="7" spans="1:1">
      <c r="A7" s="3" t="s">
        <v>4</v>
      </c>
    </row>
    <row r="8" spans="1:1" ht="25.5">
      <c r="A8" s="3" t="s">
        <v>5</v>
      </c>
    </row>
    <row r="9" spans="1:1" ht="25.5">
      <c r="A9" s="3" t="s">
        <v>6</v>
      </c>
    </row>
    <row r="10" spans="1:1" ht="25.5">
      <c r="A10" s="3" t="s">
        <v>7</v>
      </c>
    </row>
    <row r="11" spans="1:1" ht="25.5">
      <c r="A11" s="3" t="s">
        <v>8</v>
      </c>
    </row>
    <row r="12" spans="1:1" ht="25.5">
      <c r="A12" s="3" t="s">
        <v>9</v>
      </c>
    </row>
    <row r="14" spans="1:1">
      <c r="A14" s="2" t="s">
        <v>10</v>
      </c>
    </row>
    <row r="15" spans="1:1">
      <c r="A15" s="3" t="s">
        <v>11</v>
      </c>
    </row>
    <row r="16" spans="1:1">
      <c r="A16" s="3" t="s">
        <v>12</v>
      </c>
    </row>
    <row r="17" spans="1:1">
      <c r="A17" s="3" t="s">
        <v>13</v>
      </c>
    </row>
    <row r="18" spans="1:1">
      <c r="A18" s="3" t="s">
        <v>14</v>
      </c>
    </row>
    <row r="19" spans="1:1">
      <c r="A19" s="3" t="s">
        <v>15</v>
      </c>
    </row>
    <row r="20" spans="1:1">
      <c r="A20" s="3" t="s">
        <v>16</v>
      </c>
    </row>
    <row r="21" spans="1:1">
      <c r="A21" s="3" t="s">
        <v>17</v>
      </c>
    </row>
    <row r="22" spans="1:1">
      <c r="A22" s="3" t="s">
        <v>18</v>
      </c>
    </row>
    <row r="23" spans="1:1">
      <c r="A23" s="3" t="s">
        <v>19</v>
      </c>
    </row>
    <row r="25" spans="1:1">
      <c r="A25" s="2" t="s">
        <v>20</v>
      </c>
    </row>
    <row r="26" spans="1:1">
      <c r="A26" s="4" t="s">
        <v>21</v>
      </c>
    </row>
    <row r="27" spans="1:1">
      <c r="A27" s="5" t="s">
        <v>22</v>
      </c>
    </row>
    <row r="28" spans="1:1">
      <c r="A28" s="6" t="s">
        <v>23</v>
      </c>
    </row>
    <row r="29" spans="1:1">
      <c r="A29" s="7" t="s">
        <v>24</v>
      </c>
    </row>
    <row r="31" spans="1:1">
      <c r="A31" s="2" t="s">
        <v>25</v>
      </c>
    </row>
    <row r="32" spans="1:1" ht="25.5">
      <c r="A32" s="3" t="s">
        <v>26</v>
      </c>
    </row>
    <row r="33" spans="1:1" ht="25.5">
      <c r="A33" s="3" t="s">
        <v>27</v>
      </c>
    </row>
    <row r="34" spans="1:1" ht="38.25">
      <c r="A34" s="3" t="s">
        <v>28</v>
      </c>
    </row>
    <row r="35" spans="1:1">
      <c r="A35" s="3" t="s">
        <v>29</v>
      </c>
    </row>
    <row r="37" spans="1:1" ht="26.25">
      <c r="A37" s="8" t="s">
        <v>30</v>
      </c>
    </row>
    <row r="38" spans="1:1">
      <c r="A38" s="8" t="s">
        <v>31</v>
      </c>
    </row>
    <row r="40" spans="1:1">
      <c r="A40" s="2" t="s">
        <v>32</v>
      </c>
    </row>
    <row r="41" spans="1:1">
      <c r="A41" s="8" t="s">
        <v>33</v>
      </c>
    </row>
    <row r="42" spans="1:1" ht="26.25">
      <c r="A42" s="8" t="s">
        <v>34</v>
      </c>
    </row>
    <row r="43" spans="1:1">
      <c r="A43" s="8" t="s">
        <v>35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3"/>
  <sheetViews>
    <sheetView topLeftCell="A20" workbookViewId="0">
      <selection activeCell="B31" sqref="B31:C31"/>
    </sheetView>
  </sheetViews>
  <sheetFormatPr defaultRowHeight="15"/>
  <cols>
    <col min="1" max="1" width="44" customWidth="1"/>
    <col min="2" max="2" width="30" customWidth="1"/>
    <col min="3" max="3" width="70" customWidth="1"/>
  </cols>
  <sheetData>
    <row r="1" spans="1:3">
      <c r="A1" s="2" t="s">
        <v>36</v>
      </c>
    </row>
    <row r="2" spans="1:3" ht="48" customHeight="1">
      <c r="A2" s="9" t="s">
        <v>37</v>
      </c>
      <c r="B2" s="62"/>
      <c r="C2" s="63"/>
    </row>
    <row r="3" spans="1:3" ht="48" customHeight="1">
      <c r="A3" s="9" t="s">
        <v>38</v>
      </c>
      <c r="B3" s="62"/>
      <c r="C3" s="63"/>
    </row>
    <row r="4" spans="1:3" ht="48" customHeight="1">
      <c r="A4" s="9" t="s">
        <v>39</v>
      </c>
      <c r="B4" s="62"/>
      <c r="C4" s="63"/>
    </row>
    <row r="5" spans="1:3" ht="48" customHeight="1">
      <c r="A5" s="9" t="s">
        <v>40</v>
      </c>
      <c r="B5" s="62"/>
      <c r="C5" s="63"/>
    </row>
    <row r="7" spans="1:3">
      <c r="A7" s="2" t="s">
        <v>41</v>
      </c>
    </row>
    <row r="8" spans="1:3">
      <c r="A8" s="9" t="s">
        <v>41</v>
      </c>
      <c r="B8" s="11" t="str">
        <f>IF(Bedrijfsinfo!B2="","",Bedrijfsinfo!B2)</f>
        <v/>
      </c>
    </row>
    <row r="9" spans="1:3">
      <c r="A9" s="9" t="s">
        <v>42</v>
      </c>
      <c r="B9" s="11" t="str">
        <f>IF(Bedrijfsinfo!B3="","",Bedrijfsinfo!B3&amp;" op "&amp;Bedrijfsinfo!B5)</f>
        <v/>
      </c>
    </row>
    <row r="10" spans="1:3">
      <c r="A10" s="9" t="s">
        <v>43</v>
      </c>
      <c r="B10" s="12" t="str">
        <f>IF(Bedrijfsinfo!B13="","",Bedrijfsinfo!B13)</f>
        <v/>
      </c>
    </row>
    <row r="11" spans="1:3">
      <c r="A11" s="9" t="s">
        <v>44</v>
      </c>
      <c r="B11" s="13" t="str">
        <f>IF(Bedrijfsinfo!$B$18="","",Bedrijfsinfo!$B$18)</f>
        <v/>
      </c>
    </row>
    <row r="13" spans="1:3">
      <c r="A13" s="2" t="s">
        <v>45</v>
      </c>
    </row>
    <row r="14" spans="1:3">
      <c r="A14" s="14" t="s">
        <v>46</v>
      </c>
      <c r="B14" s="14" t="s">
        <v>47</v>
      </c>
      <c r="C14" s="14" t="s">
        <v>48</v>
      </c>
    </row>
    <row r="15" spans="1:3" ht="48" customHeight="1">
      <c r="A15" s="50" t="s">
        <v>49</v>
      </c>
      <c r="B15" s="51" t="str">
        <f>IF(Bedrijf!B11="","Nog open",Bedrijf!B11)</f>
        <v>Nog open</v>
      </c>
      <c r="C15" s="52" t="str">
        <f>IF(Bedrijf!B12="","",Bedrijf!B12)</f>
        <v/>
      </c>
    </row>
    <row r="16" spans="1:3" ht="48" customHeight="1">
      <c r="A16" s="50" t="s">
        <v>50</v>
      </c>
      <c r="B16" s="51" t="str">
        <f>IF(Markt!B16="","Nog open",Markt!B16)</f>
        <v>Nog open</v>
      </c>
      <c r="C16" s="52" t="str">
        <f>IF(Markt!B17="","",Markt!B17)</f>
        <v/>
      </c>
    </row>
    <row r="17" spans="1:3" ht="48" customHeight="1">
      <c r="A17" s="50" t="s">
        <v>51</v>
      </c>
      <c r="B17" s="51" t="str">
        <f>IF(Waardering!B42="","Nog open",Waardering!B42)</f>
        <v>Nog open</v>
      </c>
      <c r="C17" s="52" t="str">
        <f>IF(Waardering!B43="","",Waardering!B43)</f>
        <v/>
      </c>
    </row>
    <row r="18" spans="1:3" ht="48" customHeight="1">
      <c r="A18" s="50" t="s">
        <v>52</v>
      </c>
      <c r="B18" s="51" t="str">
        <f>IF('Prijs en kwaliteit'!B16="","Nog open",'Prijs en kwaliteit'!B16)</f>
        <v>Nog open</v>
      </c>
      <c r="C18" s="52" t="str">
        <f>IF('Prijs en kwaliteit'!B17="","",'Prijs en kwaliteit'!B17)</f>
        <v/>
      </c>
    </row>
    <row r="19" spans="1:3" ht="48" customHeight="1">
      <c r="A19" s="50" t="s">
        <v>53</v>
      </c>
      <c r="B19" s="51" t="str">
        <f>IF(Management!B24="","Nog open",Management!B24)</f>
        <v>Nog open</v>
      </c>
      <c r="C19" s="52" t="str">
        <f>IF(Management!B25="","",Management!B25)</f>
        <v/>
      </c>
    </row>
    <row r="21" spans="1:3">
      <c r="A21" s="2" t="s">
        <v>54</v>
      </c>
    </row>
    <row r="22" spans="1:3">
      <c r="A22" s="15" t="s">
        <v>55</v>
      </c>
      <c r="B22" s="17">
        <f>COUNTIF(Checks!$D$2:$D$17,"Belemmering")</f>
        <v>0</v>
      </c>
    </row>
    <row r="23" spans="1:3">
      <c r="A23" s="15" t="s">
        <v>56</v>
      </c>
      <c r="B23" s="17">
        <f>COUNTIF(Checks!$D$2:$D$17,"Onbekend")</f>
        <v>0</v>
      </c>
    </row>
    <row r="24" spans="1:3">
      <c r="A24" s="15" t="s">
        <v>57</v>
      </c>
      <c r="B24" s="17">
        <f>COUNTIF(Checks!$D$2:$D$17,"Geen belemmering")</f>
        <v>0</v>
      </c>
    </row>
    <row r="25" spans="1:3">
      <c r="A25" s="15" t="s">
        <v>58</v>
      </c>
      <c r="B25" s="16" t="str">
        <f>IF(OR('Prijs en kwaliteit'!$B$4="",'Prijs en kwaliteit'!$B$5=""),"",'Prijs en kwaliteit'!$B$4&amp;" en "&amp;'Prijs en kwaliteit'!$B$5)</f>
        <v/>
      </c>
    </row>
    <row r="27" spans="1:3">
      <c r="A27" s="2" t="s">
        <v>59</v>
      </c>
    </row>
    <row r="28" spans="1:3">
      <c r="A28" s="46" t="s">
        <v>60</v>
      </c>
      <c r="B28" s="47"/>
      <c r="C28" s="48"/>
    </row>
    <row r="29" spans="1:3">
      <c r="A29" s="46" t="s">
        <v>61</v>
      </c>
      <c r="B29" s="49"/>
      <c r="C29" s="48"/>
    </row>
    <row r="30" spans="1:3" ht="90" customHeight="1">
      <c r="A30" s="46" t="s">
        <v>62</v>
      </c>
      <c r="B30" s="60"/>
      <c r="C30" s="61"/>
    </row>
    <row r="31" spans="1:3" ht="90" customHeight="1">
      <c r="A31" s="46" t="s">
        <v>63</v>
      </c>
      <c r="B31" s="60"/>
      <c r="C31" s="61"/>
    </row>
    <row r="32" spans="1:3" ht="90" customHeight="1">
      <c r="A32" s="46" t="s">
        <v>64</v>
      </c>
      <c r="B32" s="60"/>
      <c r="C32" s="61"/>
    </row>
    <row r="33" spans="1:3" ht="90" customHeight="1">
      <c r="A33" s="46" t="s">
        <v>65</v>
      </c>
      <c r="B33" s="60"/>
      <c r="C33" s="61"/>
    </row>
  </sheetData>
  <mergeCells count="8">
    <mergeCell ref="B30:C30"/>
    <mergeCell ref="B2:C2"/>
    <mergeCell ref="B33:C33"/>
    <mergeCell ref="B3:C3"/>
    <mergeCell ref="B5:C5"/>
    <mergeCell ref="B32:C32"/>
    <mergeCell ref="B31:C31"/>
    <mergeCell ref="B4:C4"/>
  </mergeCells>
  <dataValidations count="1">
    <dataValidation type="list" allowBlank="1" errorTitle="Ongeldige waarde" error="Kies een waarde uit de lijst." sqref="B28" xr:uid="{00000000-0002-0000-0100-000000000000}">
      <formula1>"Verder onderzoeken,Later terugkomen,Stoppen"</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8"/>
  <sheetViews>
    <sheetView workbookViewId="0">
      <selection activeCell="D8" sqref="D8"/>
    </sheetView>
  </sheetViews>
  <sheetFormatPr defaultRowHeight="15"/>
  <cols>
    <col min="1" max="1" width="40" customWidth="1"/>
    <col min="2" max="5" width="18" customWidth="1"/>
    <col min="6" max="6" width="65.42578125" customWidth="1"/>
  </cols>
  <sheetData>
    <row r="1" spans="1:6">
      <c r="A1" s="2" t="s">
        <v>66</v>
      </c>
    </row>
    <row r="2" spans="1:6">
      <c r="A2" s="9" t="s">
        <v>67</v>
      </c>
      <c r="B2" s="10"/>
    </row>
    <row r="3" spans="1:6">
      <c r="A3" s="9" t="s">
        <v>68</v>
      </c>
      <c r="B3" s="10"/>
    </row>
    <row r="4" spans="1:6">
      <c r="A4" s="9" t="s">
        <v>69</v>
      </c>
      <c r="B4" s="10"/>
    </row>
    <row r="5" spans="1:6">
      <c r="A5" s="9" t="s">
        <v>70</v>
      </c>
      <c r="B5" s="10"/>
    </row>
    <row r="6" spans="1:6">
      <c r="A6" s="9" t="s">
        <v>71</v>
      </c>
      <c r="B6" s="10"/>
    </row>
    <row r="7" spans="1:6" ht="25.5">
      <c r="A7" s="9" t="s">
        <v>72</v>
      </c>
      <c r="B7" s="10"/>
      <c r="F7" s="19" t="s">
        <v>73</v>
      </c>
    </row>
    <row r="8" spans="1:6">
      <c r="A8" s="9" t="s">
        <v>74</v>
      </c>
      <c r="B8" s="10"/>
    </row>
    <row r="9" spans="1:6">
      <c r="A9" s="9" t="s">
        <v>75</v>
      </c>
      <c r="B9" s="10"/>
    </row>
    <row r="10" spans="1:6">
      <c r="A10" s="9" t="s">
        <v>76</v>
      </c>
      <c r="B10" s="10"/>
      <c r="F10" s="19" t="s">
        <v>77</v>
      </c>
    </row>
    <row r="11" spans="1:6">
      <c r="A11" s="9" t="s">
        <v>78</v>
      </c>
      <c r="B11" s="10"/>
    </row>
    <row r="12" spans="1:6">
      <c r="A12" s="9" t="s">
        <v>287</v>
      </c>
      <c r="B12" s="10"/>
    </row>
    <row r="13" spans="1:6">
      <c r="A13" s="9" t="s">
        <v>43</v>
      </c>
      <c r="B13" s="18"/>
    </row>
    <row r="14" spans="1:6" ht="25.5">
      <c r="A14" s="9" t="s">
        <v>79</v>
      </c>
      <c r="B14" s="10"/>
      <c r="F14" s="19" t="s">
        <v>80</v>
      </c>
    </row>
    <row r="15" spans="1:6">
      <c r="A15" s="9" t="s">
        <v>81</v>
      </c>
      <c r="B15" s="10"/>
    </row>
    <row r="17" spans="1:6">
      <c r="A17" s="2" t="s">
        <v>82</v>
      </c>
    </row>
    <row r="18" spans="1:6">
      <c r="A18" s="9" t="s">
        <v>83</v>
      </c>
      <c r="B18" s="20"/>
    </row>
    <row r="19" spans="1:6">
      <c r="A19" s="9" t="s">
        <v>84</v>
      </c>
      <c r="B19" s="18"/>
    </row>
    <row r="20" spans="1:6">
      <c r="A20" s="9" t="s">
        <v>85</v>
      </c>
      <c r="B20" s="21"/>
      <c r="F20" s="19" t="s">
        <v>86</v>
      </c>
    </row>
    <row r="21" spans="1:6">
      <c r="A21" s="9" t="s">
        <v>87</v>
      </c>
      <c r="B21" s="21"/>
      <c r="F21" s="19" t="s">
        <v>88</v>
      </c>
    </row>
    <row r="22" spans="1:6">
      <c r="A22" s="9" t="s">
        <v>89</v>
      </c>
      <c r="B22" s="21"/>
    </row>
    <row r="23" spans="1:6">
      <c r="A23" s="9" t="s">
        <v>90</v>
      </c>
      <c r="B23" s="22" t="str">
        <f>IF(OR(B18="",B21=""),"",B18*B21)</f>
        <v/>
      </c>
      <c r="F23" s="19" t="s">
        <v>91</v>
      </c>
    </row>
    <row r="24" spans="1:6" ht="25.5">
      <c r="A24" s="9" t="s">
        <v>92</v>
      </c>
      <c r="B24" s="23" t="str">
        <f>IF(OR(B22="",B23="",B23=0),"",B22/B23-1)</f>
        <v/>
      </c>
      <c r="F24" s="19" t="s">
        <v>93</v>
      </c>
    </row>
    <row r="25" spans="1:6">
      <c r="A25" s="9" t="s">
        <v>94</v>
      </c>
      <c r="B25" s="21"/>
      <c r="F25" s="19" t="s">
        <v>95</v>
      </c>
    </row>
    <row r="26" spans="1:6">
      <c r="A26" s="9" t="s">
        <v>96</v>
      </c>
      <c r="B26" s="21"/>
      <c r="F26" s="19" t="s">
        <v>97</v>
      </c>
    </row>
    <row r="27" spans="1:6">
      <c r="A27" s="9" t="s">
        <v>98</v>
      </c>
      <c r="B27" s="21"/>
      <c r="F27" s="19" t="s">
        <v>99</v>
      </c>
    </row>
    <row r="28" spans="1:6">
      <c r="A28" s="9" t="s">
        <v>100</v>
      </c>
      <c r="B28" s="21"/>
    </row>
    <row r="29" spans="1:6">
      <c r="A29" s="9" t="s">
        <v>101</v>
      </c>
      <c r="B29" s="22" t="str">
        <f>IF(OR(B26="",B25=""),"",B26-B25)</f>
        <v/>
      </c>
    </row>
    <row r="30" spans="1:6">
      <c r="A30" s="9" t="s">
        <v>102</v>
      </c>
      <c r="B30" s="22" t="str">
        <f>IF(OR(B22="",B29=""),"",B22+B29+IF(B28="",0,B28))</f>
        <v/>
      </c>
      <c r="F30" s="19" t="s">
        <v>103</v>
      </c>
    </row>
    <row r="31" spans="1:6">
      <c r="A31" s="9" t="s">
        <v>104</v>
      </c>
      <c r="B31" s="22" t="str">
        <f>IF(OR(B30="",B27=""),"",B30+B27)</f>
        <v/>
      </c>
      <c r="F31" s="19" t="s">
        <v>105</v>
      </c>
    </row>
    <row r="33" spans="1:6">
      <c r="A33" s="2" t="s">
        <v>106</v>
      </c>
    </row>
    <row r="34" spans="1:6">
      <c r="A34" s="24" t="s">
        <v>107</v>
      </c>
      <c r="B34" s="24">
        <v>2023</v>
      </c>
      <c r="C34" s="24">
        <v>2024</v>
      </c>
      <c r="D34" s="24">
        <v>2025</v>
      </c>
      <c r="E34" s="42" t="s">
        <v>284</v>
      </c>
      <c r="F34" s="24" t="s">
        <v>108</v>
      </c>
    </row>
    <row r="35" spans="1:6">
      <c r="A35" s="9" t="s">
        <v>109</v>
      </c>
      <c r="B35" s="25"/>
      <c r="C35" s="25"/>
      <c r="D35" s="25"/>
      <c r="E35" s="25"/>
      <c r="F35" s="10"/>
    </row>
    <row r="36" spans="1:6">
      <c r="A36" s="9" t="s">
        <v>110</v>
      </c>
      <c r="B36" s="26"/>
      <c r="C36" s="26" t="str">
        <f>IF(OR(C35="",B35="",B35=0),"",C35/B35-1)</f>
        <v/>
      </c>
      <c r="D36" s="26" t="str">
        <f>IF(OR(D35="",C35="",C35=0),"",D35/C35-1)</f>
        <v/>
      </c>
      <c r="E36" s="26" t="str">
        <f>IF(OR(E35="",D35="",D35=0),"",E35/D35-1)</f>
        <v/>
      </c>
      <c r="F36" s="10"/>
    </row>
    <row r="37" spans="1:6">
      <c r="A37" s="9" t="s">
        <v>111</v>
      </c>
      <c r="B37" s="27"/>
      <c r="C37" s="27"/>
      <c r="D37" s="27"/>
      <c r="E37" s="27"/>
      <c r="F37" s="10"/>
    </row>
    <row r="38" spans="1:6">
      <c r="A38" s="9" t="s">
        <v>112</v>
      </c>
      <c r="B38" s="27"/>
      <c r="C38" s="27"/>
      <c r="D38" s="27"/>
      <c r="E38" s="27"/>
      <c r="F38" s="10"/>
    </row>
    <row r="39" spans="1:6">
      <c r="A39" s="9" t="s">
        <v>113</v>
      </c>
      <c r="B39" s="25"/>
      <c r="C39" s="25"/>
      <c r="D39" s="25"/>
      <c r="E39" s="25"/>
      <c r="F39" s="10"/>
    </row>
    <row r="40" spans="1:6">
      <c r="A40" s="9" t="s">
        <v>114</v>
      </c>
      <c r="B40" s="26" t="str">
        <f>IF(OR(B39="",B35="",B35=0),"",B39/B35)</f>
        <v/>
      </c>
      <c r="C40" s="26" t="str">
        <f>IF(OR(C39="",C35="",C35=0),"",C39/C35)</f>
        <v/>
      </c>
      <c r="D40" s="26" t="str">
        <f>IF(OR(D39="",D35="",D35=0),"",D39/D35)</f>
        <v/>
      </c>
      <c r="E40" s="26" t="str">
        <f>IF(OR(E39="",E35="",E35=0),"",E39/E35)</f>
        <v/>
      </c>
      <c r="F40" s="10"/>
    </row>
    <row r="41" spans="1:6" ht="25.5">
      <c r="A41" s="9" t="s">
        <v>115</v>
      </c>
      <c r="B41" s="25"/>
      <c r="C41" s="25"/>
      <c r="D41" s="25"/>
      <c r="E41" s="25"/>
      <c r="F41" s="10"/>
    </row>
    <row r="42" spans="1:6" ht="25.5">
      <c r="A42" s="9" t="s">
        <v>116</v>
      </c>
      <c r="B42" s="28" t="str">
        <f>IF(OR(B41="",B39="",B39=0),"",B41/B39)</f>
        <v/>
      </c>
      <c r="C42" s="28" t="str">
        <f>IF(OR(C41="",C39="",C39=0),"",C41/C39)</f>
        <v/>
      </c>
      <c r="D42" s="28" t="str">
        <f>IF(OR(D41="",D39="",D39=0),"",D41/D39)</f>
        <v/>
      </c>
      <c r="E42" s="28" t="str">
        <f>IF(OR(E41="",E39="",E39=0),"",E41/E39)</f>
        <v/>
      </c>
      <c r="F42" s="10"/>
    </row>
    <row r="43" spans="1:6">
      <c r="A43" s="9" t="s">
        <v>117</v>
      </c>
      <c r="B43" s="25"/>
      <c r="C43" s="25"/>
      <c r="D43" s="25"/>
      <c r="E43" s="25"/>
      <c r="F43" s="10"/>
    </row>
    <row r="44" spans="1:6">
      <c r="A44" s="9" t="s">
        <v>285</v>
      </c>
      <c r="B44" s="26" t="str">
        <f>IF(OR(B43="",B35="",B35=0),"",B43/B35)</f>
        <v/>
      </c>
      <c r="C44" s="26" t="str">
        <f>IF(OR(C43="",C35="",C35=0),"",C43/C35)</f>
        <v/>
      </c>
      <c r="D44" s="26" t="str">
        <f>IF(OR(D43="",D35="",D35=0),"",D43/D35)</f>
        <v/>
      </c>
      <c r="E44" s="26" t="str">
        <f>IF(OR(E43="",E35="",E35=0),"",E43/E35)</f>
        <v/>
      </c>
      <c r="F44" s="10"/>
    </row>
    <row r="45" spans="1:6">
      <c r="A45" s="9" t="s">
        <v>118</v>
      </c>
      <c r="B45" s="29"/>
      <c r="C45" s="29"/>
      <c r="D45" s="29"/>
      <c r="E45" s="29"/>
      <c r="F45" s="10"/>
    </row>
    <row r="46" spans="1:6">
      <c r="A46" s="9" t="s">
        <v>286</v>
      </c>
      <c r="B46" s="28" t="str">
        <f>IF(OR(B45="",B45="",B45&lt;=0,Bedrijfsinfo!$B$18=""),"",Bedrijfsinfo!$B$18/B45)</f>
        <v/>
      </c>
      <c r="C46" s="28" t="str">
        <f>IF(OR(C45="",C45="",C45&lt;=0,Bedrijfsinfo!$B$18=""),"",Bedrijfsinfo!$B$18/C45)</f>
        <v/>
      </c>
      <c r="D46" s="28" t="str">
        <f>IF(OR(D45="",D45="",D45&lt;=0,Bedrijfsinfo!$B$18=""),"",Bedrijfsinfo!$B$18/D45)</f>
        <v/>
      </c>
      <c r="E46" s="28" t="str">
        <f>IF(OR(E45="",E45="",E45&lt;=0,Bedrijfsinfo!$B$18=""),"",Bedrijfsinfo!$B$18/E45)</f>
        <v/>
      </c>
      <c r="F46" s="10"/>
    </row>
    <row r="47" spans="1:6">
      <c r="A47" s="9" t="s">
        <v>119</v>
      </c>
      <c r="B47" s="30"/>
      <c r="C47" s="30"/>
      <c r="D47" s="30"/>
      <c r="E47" s="30"/>
      <c r="F47" s="10"/>
    </row>
    <row r="48" spans="1:6">
      <c r="A48" s="9" t="s">
        <v>120</v>
      </c>
      <c r="B48" s="27"/>
      <c r="C48" s="27"/>
      <c r="D48" s="27"/>
      <c r="E48" s="27"/>
      <c r="F48" s="10"/>
    </row>
  </sheetData>
  <dataValidations count="4">
    <dataValidation type="list" allowBlank="1" errorTitle="Ongeldige waarde" error="Kies een waarde uit de lijst." sqref="B7" xr:uid="{00000000-0002-0000-0200-000000000000}">
      <formula1>"IFRS,US GAAP,Anders"</formula1>
    </dataValidation>
    <dataValidation type="list" allowBlank="1" errorTitle="Ongeldige waarde" error="Kies een waarde uit de lijst." sqref="B10" xr:uid="{00000000-0002-0000-0200-000001000000}">
      <formula1>"Duizenden,Miljoenen"</formula1>
    </dataValidation>
    <dataValidation type="list" allowBlank="1" errorTitle="Ongeldige waarde" error="Kies een waarde uit de lijst." sqref="B14" xr:uid="{00000000-0002-0000-0200-000002000000}">
      <formula1>"Snelle groeier,Stalwart,Cyclisch,Turnaround,Langzame groeier,Activaspel"</formula1>
    </dataValidation>
    <dataValidation type="list" allowBlank="1" showInputMessage="1" showErrorMessage="1" errorTitle="Ongeldige waarde" error="Kies een waarde uit de lijst." sqref="B15" xr:uid="{62E067D8-BCD2-4FFE-8F84-BA1D2ABDED7B}">
      <formula1>"A. Snelle groeiers,B. Cyclische bedrijven,C. Gereguleerde bedrijven,D. Omzetgroei zonder winst,E. Amerikaanse smallcaps,F. Midcaps,G. Life Sciences,Landenlijst Nederland,Landenlijst Hongkong,Landenlijst Verenigde Staten"</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
  <sheetViews>
    <sheetView workbookViewId="0">
      <pane xSplit="1" ySplit="1" topLeftCell="B8" activePane="bottomRight" state="frozen"/>
      <selection pane="topRight"/>
      <selection pane="bottomLeft"/>
      <selection pane="bottomRight" activeCell="B25" sqref="B25"/>
    </sheetView>
  </sheetViews>
  <sheetFormatPr defaultRowHeight="15"/>
  <cols>
    <col min="1" max="1" width="46.5703125" customWidth="1"/>
    <col min="2" max="2" width="70" customWidth="1"/>
    <col min="3" max="3" width="26" customWidth="1"/>
    <col min="4" max="4" width="15.5703125" customWidth="1"/>
    <col min="5" max="5" width="44" customWidth="1"/>
  </cols>
  <sheetData>
    <row r="1" spans="1:5" ht="32.1" customHeight="1">
      <c r="A1" s="31" t="s">
        <v>121</v>
      </c>
      <c r="B1" s="31" t="s">
        <v>122</v>
      </c>
      <c r="C1" s="31" t="s">
        <v>123</v>
      </c>
      <c r="D1" s="31" t="s">
        <v>124</v>
      </c>
      <c r="E1" s="31" t="s">
        <v>125</v>
      </c>
    </row>
    <row r="2" spans="1:5" ht="75" customHeight="1">
      <c r="A2" s="43" t="s">
        <v>126</v>
      </c>
      <c r="B2" s="44"/>
      <c r="C2" s="44"/>
      <c r="D2" s="53"/>
      <c r="E2" s="44"/>
    </row>
    <row r="3" spans="1:5" ht="75" customHeight="1">
      <c r="A3" s="43" t="s">
        <v>127</v>
      </c>
      <c r="B3" s="44"/>
      <c r="C3" s="44"/>
      <c r="D3" s="53"/>
      <c r="E3" s="44"/>
    </row>
    <row r="4" spans="1:5" ht="75" customHeight="1">
      <c r="A4" s="43" t="s">
        <v>128</v>
      </c>
      <c r="B4" s="44"/>
      <c r="C4" s="44"/>
      <c r="D4" s="53"/>
      <c r="E4" s="44"/>
    </row>
    <row r="5" spans="1:5" ht="75" customHeight="1">
      <c r="A5" s="43" t="s">
        <v>129</v>
      </c>
      <c r="B5" s="44"/>
      <c r="C5" s="44"/>
      <c r="D5" s="53"/>
      <c r="E5" s="44"/>
    </row>
    <row r="6" spans="1:5" ht="75" customHeight="1">
      <c r="A6" s="43" t="s">
        <v>130</v>
      </c>
      <c r="B6" s="44"/>
      <c r="C6" s="44"/>
      <c r="D6" s="53"/>
      <c r="E6" s="44"/>
    </row>
    <row r="7" spans="1:5" ht="75" customHeight="1">
      <c r="A7" s="43" t="s">
        <v>131</v>
      </c>
      <c r="B7" s="44"/>
      <c r="C7" s="44"/>
      <c r="D7" s="53"/>
      <c r="E7" s="44"/>
    </row>
    <row r="8" spans="1:5" ht="75" customHeight="1">
      <c r="A8" s="43" t="s">
        <v>132</v>
      </c>
      <c r="B8" s="44"/>
      <c r="C8" s="44"/>
      <c r="D8" s="53"/>
      <c r="E8" s="44"/>
    </row>
    <row r="9" spans="1:5" ht="75" customHeight="1">
      <c r="A9" s="43" t="s">
        <v>133</v>
      </c>
      <c r="B9" s="44"/>
      <c r="C9" s="44"/>
      <c r="D9" s="53"/>
      <c r="E9" s="44"/>
    </row>
    <row r="11" spans="1:5" ht="30" customHeight="1">
      <c r="A11" s="54" t="s">
        <v>134</v>
      </c>
      <c r="B11" s="53"/>
    </row>
    <row r="12" spans="1:5" ht="75" customHeight="1">
      <c r="A12" s="54" t="s">
        <v>135</v>
      </c>
      <c r="B12" s="44"/>
    </row>
  </sheetData>
  <dataValidations count="2">
    <dataValidation type="list" allowBlank="1" errorTitle="Ongeldige waarde" error="Kies een waarde uit de lijst." sqref="D2:D9" xr:uid="{00000000-0002-0000-0300-000000000000}">
      <formula1>"Laag,Midden,Hoog,Onbekend"</formula1>
    </dataValidation>
    <dataValidation type="list" allowBlank="1" errorTitle="Ongeldige waarde" error="Kies een waarde uit de lijst." sqref="B11" xr:uid="{00000000-0002-0000-0300-000001000000}">
      <formula1>"Verder onderzoeken,Later terugkomen,Stoppen,Nog open"</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7"/>
  <sheetViews>
    <sheetView workbookViewId="0">
      <pane xSplit="1" ySplit="1" topLeftCell="B12" activePane="bottomRight" state="frozen"/>
      <selection pane="topRight"/>
      <selection pane="bottomLeft"/>
      <selection pane="bottomRight" activeCell="B25" sqref="B25"/>
    </sheetView>
  </sheetViews>
  <sheetFormatPr defaultRowHeight="15"/>
  <cols>
    <col min="1" max="1" width="48.85546875" bestFit="1" customWidth="1"/>
    <col min="2" max="2" width="70" customWidth="1"/>
    <col min="3" max="3" width="26" customWidth="1"/>
    <col min="4" max="4" width="17.85546875" bestFit="1" customWidth="1"/>
    <col min="5" max="5" width="44" customWidth="1"/>
  </cols>
  <sheetData>
    <row r="1" spans="1:5" ht="32.1" customHeight="1">
      <c r="A1" s="31" t="s">
        <v>121</v>
      </c>
      <c r="B1" s="31" t="s">
        <v>122</v>
      </c>
      <c r="C1" s="31" t="s">
        <v>123</v>
      </c>
      <c r="D1" s="31" t="s">
        <v>124</v>
      </c>
      <c r="E1" s="31" t="s">
        <v>125</v>
      </c>
    </row>
    <row r="2" spans="1:5">
      <c r="A2" s="2" t="s">
        <v>136</v>
      </c>
    </row>
    <row r="3" spans="1:5">
      <c r="A3" s="14" t="s">
        <v>137</v>
      </c>
      <c r="B3" s="14" t="s">
        <v>138</v>
      </c>
      <c r="C3" s="14" t="s">
        <v>123</v>
      </c>
      <c r="D3" s="14" t="s">
        <v>139</v>
      </c>
      <c r="E3" s="14" t="s">
        <v>140</v>
      </c>
    </row>
    <row r="4" spans="1:5" ht="48" customHeight="1">
      <c r="A4" s="44" t="s">
        <v>141</v>
      </c>
      <c r="B4" s="55"/>
      <c r="C4" s="44"/>
      <c r="D4" s="44"/>
      <c r="E4" s="44"/>
    </row>
    <row r="5" spans="1:5" ht="48" customHeight="1">
      <c r="A5" s="44" t="s">
        <v>142</v>
      </c>
      <c r="B5" s="55"/>
      <c r="C5" s="44"/>
      <c r="D5" s="44"/>
      <c r="E5" s="44"/>
    </row>
    <row r="6" spans="1:5" ht="48" customHeight="1">
      <c r="A6" s="44" t="s">
        <v>143</v>
      </c>
      <c r="B6" s="55"/>
      <c r="C6" s="44"/>
      <c r="D6" s="44"/>
      <c r="E6" s="44"/>
    </row>
    <row r="7" spans="1:5">
      <c r="A7" s="32" t="s">
        <v>144</v>
      </c>
      <c r="B7" s="33" t="str">
        <f>IF(COUNT(B4:B6)&lt;3,"",PRODUCT(B4:B6))</f>
        <v/>
      </c>
      <c r="C7" s="41" t="s">
        <v>145</v>
      </c>
    </row>
    <row r="9" spans="1:5" ht="75" customHeight="1">
      <c r="A9" s="43" t="s">
        <v>146</v>
      </c>
      <c r="B9" s="44"/>
      <c r="C9" s="44"/>
      <c r="D9" s="53"/>
      <c r="E9" s="44"/>
    </row>
    <row r="10" spans="1:5" ht="75" customHeight="1">
      <c r="A10" s="43" t="s">
        <v>147</v>
      </c>
      <c r="B10" s="44"/>
      <c r="C10" s="44"/>
      <c r="D10" s="53"/>
      <c r="E10" s="44"/>
    </row>
    <row r="11" spans="1:5" ht="75" customHeight="1">
      <c r="A11" s="43" t="s">
        <v>148</v>
      </c>
      <c r="B11" s="44"/>
      <c r="C11" s="44"/>
      <c r="D11" s="53"/>
      <c r="E11" s="44"/>
    </row>
    <row r="12" spans="1:5" ht="75" customHeight="1">
      <c r="A12" s="43" t="s">
        <v>149</v>
      </c>
      <c r="B12" s="44"/>
      <c r="C12" s="44"/>
      <c r="D12" s="53"/>
      <c r="E12" s="44"/>
    </row>
    <row r="13" spans="1:5" ht="75" customHeight="1">
      <c r="A13" s="43" t="s">
        <v>150</v>
      </c>
      <c r="B13" s="44"/>
      <c r="C13" s="44"/>
      <c r="D13" s="53"/>
      <c r="E13" s="44"/>
    </row>
    <row r="14" spans="1:5" ht="75" customHeight="1">
      <c r="A14" s="43" t="s">
        <v>151</v>
      </c>
      <c r="B14" s="44"/>
      <c r="C14" s="44"/>
      <c r="D14" s="53"/>
      <c r="E14" s="44"/>
    </row>
    <row r="16" spans="1:5" ht="25.5" customHeight="1">
      <c r="A16" s="54" t="s">
        <v>152</v>
      </c>
      <c r="B16" s="53"/>
    </row>
    <row r="17" spans="1:2" ht="75" customHeight="1">
      <c r="A17" s="54" t="s">
        <v>135</v>
      </c>
      <c r="B17" s="44"/>
    </row>
  </sheetData>
  <dataValidations count="2">
    <dataValidation type="list" allowBlank="1" errorTitle="Ongeldige waarde" error="Kies een waarde uit de lijst." sqref="D2:D14" xr:uid="{00000000-0002-0000-0400-000000000000}">
      <formula1>"Laag,Midden,Hoog,Onbekend"</formula1>
    </dataValidation>
    <dataValidation type="list" allowBlank="1" errorTitle="Ongeldige waarde" error="Kies een waarde uit de lijst." sqref="B16" xr:uid="{00000000-0002-0000-0400-000001000000}">
      <formula1>"Verder onderzoeken,Later terugkomen,Stoppen,Nog open"</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3"/>
  <sheetViews>
    <sheetView workbookViewId="0">
      <selection activeCell="A16" sqref="A16"/>
    </sheetView>
  </sheetViews>
  <sheetFormatPr defaultRowHeight="15"/>
  <cols>
    <col min="1" max="1" width="51" customWidth="1"/>
    <col min="2" max="13" width="14" customWidth="1"/>
  </cols>
  <sheetData>
    <row r="1" spans="1:13">
      <c r="A1" s="2" t="s">
        <v>153</v>
      </c>
    </row>
    <row r="2" spans="1:13">
      <c r="A2" s="9" t="s">
        <v>154</v>
      </c>
      <c r="B2" s="34" t="str">
        <f>IF(Bedrijfsinfo!$E$46="","",Bedrijfsinfo!$E$46)</f>
        <v/>
      </c>
    </row>
    <row r="3" spans="1:13">
      <c r="A3" s="9" t="s">
        <v>155</v>
      </c>
      <c r="B3" s="35"/>
      <c r="C3" s="56" t="s">
        <v>156</v>
      </c>
    </row>
    <row r="4" spans="1:13">
      <c r="A4" s="9" t="s">
        <v>157</v>
      </c>
      <c r="B4" s="34" t="str">
        <f>IF(OR(B2="",B3="",B3&lt;=0),"",B2/(B3*100))</f>
        <v/>
      </c>
      <c r="C4" s="56" t="s">
        <v>158</v>
      </c>
    </row>
    <row r="5" spans="1:13">
      <c r="A5" s="9" t="s">
        <v>159</v>
      </c>
      <c r="B5" s="36"/>
      <c r="C5" s="56" t="s">
        <v>160</v>
      </c>
    </row>
    <row r="6" spans="1:13">
      <c r="A6" s="9" t="s">
        <v>161</v>
      </c>
      <c r="B6" s="36"/>
    </row>
    <row r="7" spans="1:13">
      <c r="A7" s="9" t="s">
        <v>162</v>
      </c>
      <c r="B7" s="36"/>
    </row>
    <row r="8" spans="1:13">
      <c r="A8" s="9" t="s">
        <v>163</v>
      </c>
      <c r="B8" s="36"/>
      <c r="C8" s="56" t="s">
        <v>288</v>
      </c>
    </row>
    <row r="9" spans="1:13">
      <c r="A9" s="9" t="s">
        <v>164</v>
      </c>
      <c r="B9" s="11" t="str">
        <f>IF(OR(B2="",B5="",B7=""),"",IF(B2&lt;B5,"Onder het laagste punt van de range",IF(B2&lt;B6,"Onder het gemiddelde",IF(B2&lt;B7,"Boven het gemiddelde","Boven het hoogste punt van de range"))))</f>
        <v/>
      </c>
    </row>
    <row r="11" spans="1:13">
      <c r="A11" s="2" t="s">
        <v>165</v>
      </c>
    </row>
    <row r="12" spans="1:13" ht="30" customHeight="1">
      <c r="A12" s="64" t="s">
        <v>166</v>
      </c>
      <c r="B12" s="65"/>
      <c r="C12" s="65"/>
      <c r="D12" s="65"/>
      <c r="E12" s="65"/>
      <c r="F12" s="65"/>
      <c r="G12" s="65"/>
      <c r="H12" s="65"/>
      <c r="I12" s="65"/>
      <c r="J12" s="65"/>
      <c r="K12" s="65"/>
      <c r="L12" s="65"/>
      <c r="M12" s="65"/>
    </row>
    <row r="13" spans="1:13">
      <c r="A13" s="9" t="s">
        <v>167</v>
      </c>
      <c r="B13" s="22" t="str">
        <f>IF(Bedrijfsinfo!$E$39="","",Bedrijfsinfo!$E$39)</f>
        <v/>
      </c>
    </row>
    <row r="14" spans="1:13">
      <c r="A14" s="9" t="s">
        <v>168</v>
      </c>
      <c r="B14" s="22" t="str">
        <f>IF(Bedrijfsinfo!$B$21="","",Bedrijfsinfo!$B$21)</f>
        <v/>
      </c>
    </row>
    <row r="15" spans="1:13">
      <c r="A15" s="9" t="s">
        <v>169</v>
      </c>
      <c r="B15" s="13" t="str">
        <f>IF(Bedrijfsinfo!$B$18="","",Bedrijfsinfo!$B$18)</f>
        <v/>
      </c>
    </row>
    <row r="16" spans="1:13">
      <c r="A16" s="9" t="s">
        <v>170</v>
      </c>
      <c r="B16" s="35"/>
      <c r="C16" s="56" t="s">
        <v>171</v>
      </c>
    </row>
    <row r="17" spans="1:13">
      <c r="A17" s="9" t="s">
        <v>172</v>
      </c>
      <c r="B17" s="36"/>
      <c r="C17" s="56" t="s">
        <v>173</v>
      </c>
    </row>
    <row r="18" spans="1:13" ht="25.5">
      <c r="A18" s="9" t="s">
        <v>174</v>
      </c>
      <c r="B18" s="36" t="str">
        <f>IF(Bedrijfsinfo!$E$42="","",Bedrijfsinfo!$E$42)</f>
        <v/>
      </c>
      <c r="C18" s="56" t="s">
        <v>175</v>
      </c>
    </row>
    <row r="19" spans="1:13" ht="25.5">
      <c r="A19" s="9" t="s">
        <v>176</v>
      </c>
      <c r="B19" s="35">
        <v>0.1</v>
      </c>
      <c r="C19" s="56" t="s">
        <v>177</v>
      </c>
    </row>
    <row r="21" spans="1:13">
      <c r="A21" s="32" t="s">
        <v>178</v>
      </c>
      <c r="B21" s="14">
        <v>0</v>
      </c>
      <c r="C21" s="14">
        <v>1</v>
      </c>
      <c r="D21" s="14">
        <v>2</v>
      </c>
      <c r="E21" s="14">
        <v>3</v>
      </c>
      <c r="F21" s="14">
        <v>4</v>
      </c>
      <c r="G21" s="14">
        <v>5</v>
      </c>
      <c r="H21" s="14">
        <v>6</v>
      </c>
      <c r="I21" s="14">
        <v>7</v>
      </c>
      <c r="J21" s="14">
        <v>8</v>
      </c>
      <c r="K21" s="14">
        <v>9</v>
      </c>
      <c r="L21" s="14">
        <v>10</v>
      </c>
      <c r="M21" s="14">
        <v>11</v>
      </c>
    </row>
    <row r="22" spans="1:13">
      <c r="A22" s="32"/>
      <c r="B22" s="14">
        <v>2026</v>
      </c>
      <c r="C22" s="14">
        <v>2027</v>
      </c>
      <c r="D22" s="14">
        <v>2028</v>
      </c>
      <c r="E22" s="14">
        <v>2029</v>
      </c>
      <c r="F22" s="14">
        <v>2030</v>
      </c>
      <c r="G22" s="14">
        <v>2031</v>
      </c>
      <c r="H22" s="14">
        <v>2032</v>
      </c>
      <c r="I22" s="14">
        <v>2033</v>
      </c>
      <c r="J22" s="14">
        <v>2034</v>
      </c>
      <c r="K22" s="14">
        <v>2035</v>
      </c>
      <c r="L22" s="14">
        <v>2036</v>
      </c>
      <c r="M22" s="14">
        <v>2037</v>
      </c>
    </row>
    <row r="23" spans="1:13">
      <c r="A23" s="15" t="s">
        <v>179</v>
      </c>
      <c r="B23" s="37"/>
      <c r="C23" s="37" t="str">
        <f>IF($B$13="","",$B$13*(1+$B$19)^1)</f>
        <v/>
      </c>
      <c r="D23" s="37" t="str">
        <f>IF($B$13="","",$B$13*(1+$B$19)^2)</f>
        <v/>
      </c>
      <c r="E23" s="37" t="str">
        <f>IF($B$13="","",$B$13*(1+$B$19)^3)</f>
        <v/>
      </c>
      <c r="F23" s="37" t="str">
        <f>IF($B$13="","",$B$13*(1+$B$19)^4)</f>
        <v/>
      </c>
      <c r="G23" s="37" t="str">
        <f>IF($B$13="","",$B$13*(1+$B$19)^5)</f>
        <v/>
      </c>
      <c r="H23" s="37" t="str">
        <f>IF($B$13="","",$B$13*(1+$B$19)^6)</f>
        <v/>
      </c>
      <c r="I23" s="37" t="str">
        <f>IF($B$13="","",$B$13*(1+$B$19)^7)</f>
        <v/>
      </c>
      <c r="J23" s="37" t="str">
        <f>IF($B$13="","",$B$13*(1+$B$19)^8)</f>
        <v/>
      </c>
      <c r="K23" s="37" t="str">
        <f>IF($B$13="","",$B$13*(1+$B$19)^9)</f>
        <v/>
      </c>
      <c r="L23" s="37" t="str">
        <f>IF($B$13="","",$B$13*(1+$B$19)^10)</f>
        <v/>
      </c>
      <c r="M23" s="37" t="str">
        <f>IF($B$13="","",$B$13*(1+$B$19)^11)</f>
        <v/>
      </c>
    </row>
    <row r="24" spans="1:13">
      <c r="A24" s="15" t="s">
        <v>180</v>
      </c>
      <c r="B24" s="37"/>
      <c r="C24" s="37" t="str">
        <f t="shared" ref="C24:M24" si="0">IF(OR(C23="",$B$18=""),"",C23*$B$18)</f>
        <v/>
      </c>
      <c r="D24" s="37" t="str">
        <f t="shared" si="0"/>
        <v/>
      </c>
      <c r="E24" s="37" t="str">
        <f t="shared" si="0"/>
        <v/>
      </c>
      <c r="F24" s="37" t="str">
        <f t="shared" si="0"/>
        <v/>
      </c>
      <c r="G24" s="37" t="str">
        <f t="shared" si="0"/>
        <v/>
      </c>
      <c r="H24" s="37" t="str">
        <f t="shared" si="0"/>
        <v/>
      </c>
      <c r="I24" s="37" t="str">
        <f t="shared" si="0"/>
        <v/>
      </c>
      <c r="J24" s="37" t="str">
        <f t="shared" si="0"/>
        <v/>
      </c>
      <c r="K24" s="37" t="str">
        <f t="shared" si="0"/>
        <v/>
      </c>
      <c r="L24" s="37" t="str">
        <f t="shared" si="0"/>
        <v/>
      </c>
      <c r="M24" s="37" t="str">
        <f t="shared" si="0"/>
        <v/>
      </c>
    </row>
    <row r="25" spans="1:13">
      <c r="A25" s="15" t="s">
        <v>181</v>
      </c>
      <c r="B25" s="38" t="str">
        <f>IF($B$15="","",-$B$15)</f>
        <v/>
      </c>
      <c r="C25" s="38" t="str">
        <f t="shared" ref="C25:L25" si="1">IF(OR(C24="",$B$14="",$B$14=0),"",(C24)/$B$14)</f>
        <v/>
      </c>
      <c r="D25" s="38" t="str">
        <f t="shared" si="1"/>
        <v/>
      </c>
      <c r="E25" s="38" t="str">
        <f t="shared" si="1"/>
        <v/>
      </c>
      <c r="F25" s="38" t="str">
        <f t="shared" si="1"/>
        <v/>
      </c>
      <c r="G25" s="38" t="str">
        <f t="shared" si="1"/>
        <v/>
      </c>
      <c r="H25" s="38" t="str">
        <f t="shared" si="1"/>
        <v/>
      </c>
      <c r="I25" s="38" t="str">
        <f t="shared" si="1"/>
        <v/>
      </c>
      <c r="J25" s="38" t="str">
        <f t="shared" si="1"/>
        <v/>
      </c>
      <c r="K25" s="38" t="str">
        <f t="shared" si="1"/>
        <v/>
      </c>
      <c r="L25" s="38" t="str">
        <f t="shared" si="1"/>
        <v/>
      </c>
      <c r="M25" s="38" t="str">
        <f>IF(OR(M24="",$B$14="",$B$14=0),"",(M24+IF($B$17="",0,$B$17*M23))/$B$14)</f>
        <v/>
      </c>
    </row>
    <row r="26" spans="1:13">
      <c r="A26" s="15" t="s">
        <v>182</v>
      </c>
      <c r="B26" s="38"/>
      <c r="C26" s="38" t="str">
        <f>IF(OR(C25="",$B$16=""),"",C25/(1+$B$16)^1)</f>
        <v/>
      </c>
      <c r="D26" s="38" t="str">
        <f>IF(OR(D25="",$B$16=""),"",D25/(1+$B$16)^2)</f>
        <v/>
      </c>
      <c r="E26" s="38" t="str">
        <f>IF(OR(E25="",$B$16=""),"",E25/(1+$B$16)^3)</f>
        <v/>
      </c>
      <c r="F26" s="38" t="str">
        <f>IF(OR(F25="",$B$16=""),"",F25/(1+$B$16)^4)</f>
        <v/>
      </c>
      <c r="G26" s="38" t="str">
        <f>IF(OR(G25="",$B$16=""),"",G25/(1+$B$16)^5)</f>
        <v/>
      </c>
      <c r="H26" s="38" t="str">
        <f>IF(OR(H25="",$B$16=""),"",H25/(1+$B$16)^6)</f>
        <v/>
      </c>
      <c r="I26" s="38" t="str">
        <f>IF(OR(I25="",$B$16=""),"",I25/(1+$B$16)^7)</f>
        <v/>
      </c>
      <c r="J26" s="38" t="str">
        <f>IF(OR(J25="",$B$16=""),"",J25/(1+$B$16)^8)</f>
        <v/>
      </c>
      <c r="K26" s="38" t="str">
        <f>IF(OR(K25="",$B$16=""),"",K25/(1+$B$16)^9)</f>
        <v/>
      </c>
      <c r="L26" s="38" t="str">
        <f>IF(OR(L25="",$B$16=""),"",L25/(1+$B$16)^10)</f>
        <v/>
      </c>
      <c r="M26" s="38" t="str">
        <f>IF(OR(M25="",$B$16=""),"",M25/(1+$B$16)^11)</f>
        <v/>
      </c>
    </row>
    <row r="28" spans="1:13">
      <c r="A28" s="9" t="s">
        <v>183</v>
      </c>
      <c r="B28" s="13" t="str">
        <f>IF(COUNT(C26:M26)&lt;11,"",SUM(C26:M26))</f>
        <v/>
      </c>
    </row>
    <row r="29" spans="1:13">
      <c r="A29" s="9" t="s">
        <v>184</v>
      </c>
      <c r="B29" s="39" t="str">
        <f>IF(OR(B28="",$B$15=""),"",B28-$B$15)</f>
        <v/>
      </c>
    </row>
    <row r="30" spans="1:13">
      <c r="A30" s="9" t="s">
        <v>185</v>
      </c>
      <c r="B30" s="40" t="str">
        <f>IF(COUNT(B25:M25)&lt;12,"",IRR(B25:M25))</f>
        <v/>
      </c>
      <c r="C30" s="56" t="s">
        <v>186</v>
      </c>
    </row>
    <row r="31" spans="1:13">
      <c r="A31" s="9" t="s">
        <v>187</v>
      </c>
      <c r="B31" s="35"/>
      <c r="C31" s="56" t="s">
        <v>188</v>
      </c>
    </row>
    <row r="32" spans="1:13">
      <c r="A32" s="9" t="s">
        <v>189</v>
      </c>
      <c r="B32" s="40" t="str">
        <f>IF(OR($B$19="",B31=""),"",$B$19-B31)</f>
        <v/>
      </c>
      <c r="C32" s="56" t="s">
        <v>190</v>
      </c>
    </row>
    <row r="34" spans="1:13">
      <c r="A34" s="2" t="s">
        <v>191</v>
      </c>
    </row>
    <row r="35" spans="1:13">
      <c r="A35" s="9" t="s">
        <v>192</v>
      </c>
      <c r="B35" s="35"/>
      <c r="C35" s="56" t="s">
        <v>193</v>
      </c>
    </row>
    <row r="36" spans="1:13">
      <c r="A36" s="9" t="s">
        <v>194</v>
      </c>
      <c r="B36" s="36"/>
    </row>
    <row r="37" spans="1:13">
      <c r="A37" s="9" t="s">
        <v>195</v>
      </c>
      <c r="B37" s="36"/>
    </row>
    <row r="38" spans="1:13">
      <c r="A38" s="9" t="s">
        <v>196</v>
      </c>
      <c r="B38" s="13" t="str">
        <f>IF(OR($B$13="",$B$14="",$B$16="",B35="",B36="",B37=""),"",SUMPRODUCT($B$13*(1+B35)^{1;2;3;4;5;6;7;8;9;10;11}*B36/$B$14/(1+$B$16)^{1;2;3;4;5;6;7;8;9;10;11})+$B$13*(1+B35)^11*B37/$B$14/(1+$B$16)^11)</f>
        <v/>
      </c>
    </row>
    <row r="39" spans="1:13">
      <c r="A39" s="9" t="s">
        <v>197</v>
      </c>
      <c r="B39" s="40" t="str">
        <f>IF(OR(B38="",$B$15="",$B$15=0),"",B38/$B$15-1)</f>
        <v/>
      </c>
    </row>
    <row r="40" spans="1:13" ht="25.5">
      <c r="A40" s="9" t="s">
        <v>198</v>
      </c>
      <c r="B40" s="40" t="str">
        <f>IF(OR(B38="",$B$15="",B38=0),"",1-$B$15/B38)</f>
        <v/>
      </c>
    </row>
    <row r="42" spans="1:13" ht="24.75" customHeight="1">
      <c r="A42" s="54" t="s">
        <v>199</v>
      </c>
      <c r="B42" s="53"/>
      <c r="C42" s="45"/>
      <c r="D42" s="45"/>
      <c r="E42" s="45"/>
      <c r="F42" s="45"/>
      <c r="G42" s="45"/>
      <c r="H42" s="45"/>
      <c r="I42" s="45"/>
      <c r="J42" s="45"/>
      <c r="K42" s="45"/>
      <c r="L42" s="45"/>
      <c r="M42" s="45"/>
    </row>
    <row r="43" spans="1:13" ht="75" customHeight="1">
      <c r="A43" s="54" t="s">
        <v>48</v>
      </c>
      <c r="B43" s="66"/>
      <c r="C43" s="67"/>
      <c r="D43" s="67"/>
      <c r="E43" s="67"/>
      <c r="F43" s="67"/>
      <c r="G43" s="67"/>
      <c r="H43" s="67"/>
      <c r="I43" s="67"/>
      <c r="J43" s="67"/>
      <c r="K43" s="67"/>
      <c r="L43" s="67"/>
      <c r="M43" s="68"/>
    </row>
  </sheetData>
  <mergeCells count="2">
    <mergeCell ref="A12:M12"/>
    <mergeCell ref="B43:M43"/>
  </mergeCells>
  <dataValidations count="1">
    <dataValidation type="list" allowBlank="1" errorTitle="Ongeldige waarde" error="Kies een waarde uit de lijst." sqref="B42" xr:uid="{00000000-0002-0000-0500-000000000000}">
      <formula1>"Verder onderzoeken,Later terugkomen,Stoppen,Nog open"</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7"/>
  <sheetViews>
    <sheetView workbookViewId="0">
      <pane xSplit="1" ySplit="1" topLeftCell="B10" activePane="bottomRight" state="frozen"/>
      <selection pane="topRight"/>
      <selection pane="bottomLeft"/>
      <selection pane="bottomRight" activeCell="C18" sqref="C18"/>
    </sheetView>
  </sheetViews>
  <sheetFormatPr defaultRowHeight="15"/>
  <cols>
    <col min="1" max="1" width="42" customWidth="1"/>
    <col min="2" max="2" width="70" customWidth="1"/>
    <col min="3" max="3" width="26" customWidth="1"/>
    <col min="4" max="4" width="12" customWidth="1"/>
    <col min="5" max="5" width="44" customWidth="1"/>
  </cols>
  <sheetData>
    <row r="1" spans="1:5" ht="32.1" customHeight="1">
      <c r="A1" s="31" t="s">
        <v>121</v>
      </c>
      <c r="B1" s="31" t="s">
        <v>122</v>
      </c>
      <c r="C1" s="31" t="s">
        <v>123</v>
      </c>
      <c r="D1" s="31" t="s">
        <v>124</v>
      </c>
      <c r="E1" s="31" t="s">
        <v>125</v>
      </c>
    </row>
    <row r="2" spans="1:5">
      <c r="A2" s="2" t="s">
        <v>200</v>
      </c>
    </row>
    <row r="3" spans="1:5" ht="45" customHeight="1">
      <c r="A3" s="70" t="s">
        <v>289</v>
      </c>
      <c r="B3" s="71"/>
      <c r="C3" s="71"/>
      <c r="D3" s="71"/>
      <c r="E3" s="71"/>
    </row>
    <row r="4" spans="1:5" ht="24" customHeight="1">
      <c r="A4" s="54" t="s">
        <v>201</v>
      </c>
      <c r="B4" s="57"/>
      <c r="C4" s="58" t="s">
        <v>202</v>
      </c>
      <c r="D4" s="45"/>
      <c r="E4" s="45"/>
    </row>
    <row r="5" spans="1:5" ht="24" customHeight="1">
      <c r="A5" s="54" t="s">
        <v>203</v>
      </c>
      <c r="B5" s="57"/>
      <c r="C5" s="58" t="s">
        <v>204</v>
      </c>
      <c r="D5" s="45"/>
      <c r="E5" s="45"/>
    </row>
    <row r="6" spans="1:5" ht="32.1" customHeight="1">
      <c r="A6" s="54" t="s">
        <v>205</v>
      </c>
      <c r="B6" s="69" t="str">
        <f>IF(OR(B4="",B5=""),"",IF(AND(B4&gt;=7,B5&gt;=7),"Goed bedrijf tegen een lage prijs: verder onderzoeken",IF(B4&gt;=7,"Goed bedrijf, hoge prijs: volgen tot de prijs past",IF(B5&gt;=7,"Lage prijs, maar waarom? Zoek de reden","Lage kwaliteit en hoge prijs: stoppen"))))</f>
        <v/>
      </c>
      <c r="C6" s="67"/>
      <c r="D6" s="67"/>
      <c r="E6" s="68"/>
    </row>
    <row r="8" spans="1:5" ht="75" customHeight="1">
      <c r="A8" s="43" t="s">
        <v>206</v>
      </c>
      <c r="B8" s="44"/>
      <c r="C8" s="44"/>
      <c r="D8" s="53"/>
      <c r="E8" s="44"/>
    </row>
    <row r="9" spans="1:5" ht="75" customHeight="1">
      <c r="A9" s="43" t="s">
        <v>207</v>
      </c>
      <c r="B9" s="44"/>
      <c r="C9" s="44"/>
      <c r="D9" s="53"/>
      <c r="E9" s="44"/>
    </row>
    <row r="10" spans="1:5" ht="75" customHeight="1">
      <c r="A10" s="43" t="s">
        <v>208</v>
      </c>
      <c r="B10" s="44"/>
      <c r="C10" s="44"/>
      <c r="D10" s="53"/>
      <c r="E10" s="44"/>
    </row>
    <row r="11" spans="1:5" ht="75" customHeight="1">
      <c r="A11" s="43" t="s">
        <v>209</v>
      </c>
      <c r="B11" s="44"/>
      <c r="C11" s="44"/>
      <c r="D11" s="53"/>
      <c r="E11" s="44"/>
    </row>
    <row r="12" spans="1:5" ht="75" customHeight="1">
      <c r="A12" s="43" t="s">
        <v>210</v>
      </c>
      <c r="B12" s="44"/>
      <c r="C12" s="44"/>
      <c r="D12" s="53"/>
      <c r="E12" s="44"/>
    </row>
    <row r="13" spans="1:5" ht="75" customHeight="1">
      <c r="A13" s="43" t="s">
        <v>211</v>
      </c>
      <c r="B13" s="44"/>
      <c r="C13" s="44"/>
      <c r="D13" s="53"/>
      <c r="E13" s="44"/>
    </row>
    <row r="14" spans="1:5" ht="75" customHeight="1">
      <c r="A14" s="43" t="s">
        <v>212</v>
      </c>
      <c r="B14" s="44"/>
      <c r="C14" s="44"/>
      <c r="D14" s="53"/>
      <c r="E14" s="44"/>
    </row>
    <row r="15" spans="1:5">
      <c r="A15" s="45"/>
      <c r="B15" s="45"/>
      <c r="C15" s="45"/>
      <c r="D15" s="45"/>
      <c r="E15" s="45"/>
    </row>
    <row r="16" spans="1:5" ht="27.75" customHeight="1">
      <c r="A16" s="54" t="s">
        <v>213</v>
      </c>
      <c r="B16" s="53"/>
      <c r="C16" s="45"/>
      <c r="D16" s="45"/>
      <c r="E16" s="45"/>
    </row>
    <row r="17" spans="1:5" ht="75" customHeight="1">
      <c r="A17" s="54" t="s">
        <v>135</v>
      </c>
      <c r="B17" s="44"/>
      <c r="C17" s="45"/>
      <c r="D17" s="45"/>
      <c r="E17" s="45"/>
    </row>
  </sheetData>
  <mergeCells count="2">
    <mergeCell ref="B6:E6"/>
    <mergeCell ref="A3:E3"/>
  </mergeCells>
  <dataValidations count="2">
    <dataValidation type="list" allowBlank="1" errorTitle="Ongeldige waarde" error="Kies een waarde uit de lijst." sqref="D2:D14" xr:uid="{00000000-0002-0000-0600-000000000000}">
      <formula1>"Laag,Midden,Hoog,Onbekend"</formula1>
    </dataValidation>
    <dataValidation type="list" allowBlank="1" errorTitle="Ongeldige waarde" error="Kies een waarde uit de lijst." sqref="B16" xr:uid="{00000000-0002-0000-0600-000001000000}">
      <formula1>"Verder onderzoeken,Later terugkomen,Stoppen,Nog open"</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5"/>
  <sheetViews>
    <sheetView workbookViewId="0">
      <pane xSplit="1" ySplit="1" topLeftCell="B2" activePane="bottomRight" state="frozen"/>
      <selection pane="topRight"/>
      <selection pane="bottomLeft"/>
      <selection pane="bottomRight" activeCell="B8" sqref="B8"/>
    </sheetView>
  </sheetViews>
  <sheetFormatPr defaultRowHeight="15"/>
  <cols>
    <col min="1" max="1" width="42" customWidth="1"/>
    <col min="2" max="2" width="70" customWidth="1"/>
    <col min="3" max="3" width="26" customWidth="1"/>
    <col min="4" max="4" width="12" customWidth="1"/>
    <col min="5" max="5" width="44" customWidth="1"/>
  </cols>
  <sheetData>
    <row r="1" spans="1:5" ht="32.1" customHeight="1">
      <c r="A1" s="31" t="s">
        <v>121</v>
      </c>
      <c r="B1" s="31" t="s">
        <v>122</v>
      </c>
      <c r="C1" s="31" t="s">
        <v>123</v>
      </c>
      <c r="D1" s="31" t="s">
        <v>124</v>
      </c>
      <c r="E1" s="31" t="s">
        <v>125</v>
      </c>
    </row>
    <row r="2" spans="1:5">
      <c r="A2" s="2" t="s">
        <v>214</v>
      </c>
    </row>
    <row r="3" spans="1:5">
      <c r="A3" s="14" t="s">
        <v>215</v>
      </c>
      <c r="B3" s="14" t="s">
        <v>216</v>
      </c>
      <c r="C3" s="14" t="s">
        <v>217</v>
      </c>
      <c r="D3" s="14" t="s">
        <v>218</v>
      </c>
      <c r="E3" s="14" t="s">
        <v>219</v>
      </c>
    </row>
    <row r="4" spans="1:5" ht="48" customHeight="1">
      <c r="A4" s="44"/>
      <c r="B4" s="44"/>
      <c r="C4" s="44"/>
      <c r="D4" s="44"/>
      <c r="E4" s="53"/>
    </row>
    <row r="5" spans="1:5" ht="48" customHeight="1">
      <c r="A5" s="44"/>
      <c r="B5" s="44"/>
      <c r="C5" s="44"/>
      <c r="D5" s="44"/>
      <c r="E5" s="53"/>
    </row>
    <row r="6" spans="1:5" ht="48" customHeight="1">
      <c r="A6" s="44"/>
      <c r="B6" s="44"/>
      <c r="C6" s="44"/>
      <c r="D6" s="44"/>
      <c r="E6" s="53"/>
    </row>
    <row r="7" spans="1:5" ht="48" customHeight="1">
      <c r="A7" s="44"/>
      <c r="B7" s="44"/>
      <c r="C7" s="44"/>
      <c r="D7" s="44"/>
      <c r="E7" s="53"/>
    </row>
    <row r="8" spans="1:5" ht="48" customHeight="1">
      <c r="A8" s="44"/>
      <c r="B8" s="44"/>
      <c r="C8" s="44"/>
      <c r="D8" s="44"/>
      <c r="E8" s="53"/>
    </row>
    <row r="10" spans="1:5">
      <c r="A10" s="2" t="s">
        <v>220</v>
      </c>
    </row>
    <row r="11" spans="1:5">
      <c r="A11" s="14" t="s">
        <v>221</v>
      </c>
      <c r="B11" s="14" t="s">
        <v>222</v>
      </c>
      <c r="C11" s="14" t="s">
        <v>223</v>
      </c>
      <c r="D11" s="14" t="s">
        <v>224</v>
      </c>
      <c r="E11" s="14" t="s">
        <v>124</v>
      </c>
    </row>
    <row r="12" spans="1:5" ht="60" customHeight="1">
      <c r="A12" s="44"/>
      <c r="B12" s="44"/>
      <c r="C12" s="44"/>
      <c r="D12" s="44"/>
      <c r="E12" s="53"/>
    </row>
    <row r="13" spans="1:5" ht="60" customHeight="1">
      <c r="A13" s="44"/>
      <c r="B13" s="44"/>
      <c r="C13" s="44"/>
      <c r="D13" s="44"/>
      <c r="E13" s="53"/>
    </row>
    <row r="14" spans="1:5" ht="60" customHeight="1">
      <c r="A14" s="44"/>
      <c r="B14" s="44"/>
      <c r="C14" s="44"/>
      <c r="D14" s="44"/>
      <c r="E14" s="53"/>
    </row>
    <row r="15" spans="1:5" ht="60" customHeight="1">
      <c r="A15" s="44"/>
      <c r="B15" s="44"/>
      <c r="C15" s="44"/>
      <c r="D15" s="44"/>
      <c r="E15" s="53"/>
    </row>
    <row r="17" spans="1:5" ht="75" customHeight="1">
      <c r="A17" s="43" t="s">
        <v>225</v>
      </c>
      <c r="B17" s="44"/>
      <c r="C17" s="44"/>
      <c r="D17" s="53"/>
      <c r="E17" s="44"/>
    </row>
    <row r="18" spans="1:5" ht="75" customHeight="1">
      <c r="A18" s="43" t="s">
        <v>226</v>
      </c>
      <c r="B18" s="44"/>
      <c r="C18" s="44"/>
      <c r="D18" s="53"/>
      <c r="E18" s="44"/>
    </row>
    <row r="19" spans="1:5" ht="75" customHeight="1">
      <c r="A19" s="43" t="s">
        <v>227</v>
      </c>
      <c r="B19" s="44"/>
      <c r="C19" s="44"/>
      <c r="D19" s="53"/>
      <c r="E19" s="44"/>
    </row>
    <row r="20" spans="1:5" ht="75" customHeight="1">
      <c r="A20" s="43" t="s">
        <v>228</v>
      </c>
      <c r="B20" s="44"/>
      <c r="C20" s="44"/>
      <c r="D20" s="53"/>
      <c r="E20" s="44"/>
    </row>
    <row r="21" spans="1:5" ht="75" customHeight="1">
      <c r="A21" s="43" t="s">
        <v>229</v>
      </c>
      <c r="B21" s="44"/>
      <c r="C21" s="44"/>
      <c r="D21" s="53"/>
      <c r="E21" s="44"/>
    </row>
    <row r="22" spans="1:5" ht="75" customHeight="1">
      <c r="A22" s="43" t="s">
        <v>230</v>
      </c>
      <c r="B22" s="44"/>
      <c r="C22" s="44"/>
      <c r="D22" s="53"/>
      <c r="E22" s="44"/>
    </row>
    <row r="23" spans="1:5">
      <c r="A23" s="45"/>
      <c r="B23" s="45"/>
      <c r="C23" s="45"/>
      <c r="D23" s="45"/>
      <c r="E23" s="45"/>
    </row>
    <row r="24" spans="1:5" ht="27.75" customHeight="1">
      <c r="A24" s="54" t="s">
        <v>231</v>
      </c>
      <c r="B24" s="53"/>
      <c r="C24" s="45"/>
      <c r="D24" s="45"/>
      <c r="E24" s="45"/>
    </row>
    <row r="25" spans="1:5" ht="75" customHeight="1">
      <c r="A25" s="54" t="s">
        <v>135</v>
      </c>
      <c r="B25" s="44"/>
      <c r="C25" s="45"/>
      <c r="D25" s="45"/>
      <c r="E25" s="45"/>
    </row>
  </sheetData>
  <dataValidations count="3">
    <dataValidation type="list" allowBlank="1" errorTitle="Ongeldige waarde" error="Kies een waarde uit de lijst." sqref="E4:E8" xr:uid="{00000000-0002-0000-0700-000000000000}">
      <formula1>"Waargemaakt,Gedeeltelijk,Niet waargemaakt,Onbekend"</formula1>
    </dataValidation>
    <dataValidation type="list" allowBlank="1" errorTitle="Ongeldige waarde" error="Kies een waarde uit de lijst." sqref="E12:E15 D2:D22" xr:uid="{00000000-0002-0000-0700-000001000000}">
      <formula1>"Laag,Midden,Hoog,Onbekend"</formula1>
    </dataValidation>
    <dataValidation type="list" allowBlank="1" errorTitle="Ongeldige waarde" error="Kies een waarde uit de lijst." sqref="B24" xr:uid="{00000000-0002-0000-0700-000003000000}">
      <formula1>"Verder onderzoeken,Later terugkomen,Stoppen,Nog open"</formula1>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9"/>
  <sheetViews>
    <sheetView workbookViewId="0">
      <pane xSplit="2" ySplit="1" topLeftCell="C12" activePane="bottomRight" state="frozen"/>
      <selection pane="topRight"/>
      <selection pane="bottomLeft"/>
      <selection pane="bottomRight" activeCell="B2" sqref="B2"/>
    </sheetView>
  </sheetViews>
  <sheetFormatPr defaultRowHeight="15"/>
  <cols>
    <col min="1" max="1" width="5" customWidth="1"/>
    <col min="2" max="2" width="34" customWidth="1"/>
    <col min="3" max="3" width="50" customWidth="1"/>
    <col min="4" max="4" width="18" customWidth="1"/>
    <col min="5" max="5" width="50" customWidth="1"/>
    <col min="6" max="6" width="24" customWidth="1"/>
    <col min="7" max="7" width="40" customWidth="1"/>
  </cols>
  <sheetData>
    <row r="1" spans="1:7" ht="32.1" customHeight="1">
      <c r="A1" s="31" t="s">
        <v>232</v>
      </c>
      <c r="B1" s="31" t="s">
        <v>233</v>
      </c>
      <c r="C1" s="31" t="s">
        <v>234</v>
      </c>
      <c r="D1" s="31" t="s">
        <v>235</v>
      </c>
      <c r="E1" s="31" t="s">
        <v>236</v>
      </c>
      <c r="F1" s="31" t="s">
        <v>123</v>
      </c>
      <c r="G1" s="31" t="s">
        <v>125</v>
      </c>
    </row>
    <row r="2" spans="1:7" ht="60" customHeight="1">
      <c r="A2" s="59">
        <v>1</v>
      </c>
      <c r="B2" s="59" t="s">
        <v>237</v>
      </c>
      <c r="C2" s="59" t="s">
        <v>238</v>
      </c>
      <c r="D2" s="53"/>
      <c r="E2" s="44"/>
      <c r="F2" s="44"/>
      <c r="G2" s="44"/>
    </row>
    <row r="3" spans="1:7" ht="60" customHeight="1">
      <c r="A3" s="59">
        <v>2</v>
      </c>
      <c r="B3" s="59" t="s">
        <v>239</v>
      </c>
      <c r="C3" s="59" t="s">
        <v>240</v>
      </c>
      <c r="D3" s="53"/>
      <c r="E3" s="44"/>
      <c r="F3" s="44"/>
      <c r="G3" s="44"/>
    </row>
    <row r="4" spans="1:7" ht="60" customHeight="1">
      <c r="A4" s="59">
        <v>3</v>
      </c>
      <c r="B4" s="59" t="s">
        <v>241</v>
      </c>
      <c r="C4" s="59" t="s">
        <v>242</v>
      </c>
      <c r="D4" s="53"/>
      <c r="E4" s="44"/>
      <c r="F4" s="44"/>
      <c r="G4" s="44"/>
    </row>
    <row r="5" spans="1:7" ht="60" customHeight="1">
      <c r="A5" s="59">
        <v>4</v>
      </c>
      <c r="B5" s="59" t="s">
        <v>243</v>
      </c>
      <c r="C5" s="59" t="s">
        <v>244</v>
      </c>
      <c r="D5" s="53"/>
      <c r="E5" s="44"/>
      <c r="F5" s="44"/>
      <c r="G5" s="44"/>
    </row>
    <row r="6" spans="1:7" ht="60" customHeight="1">
      <c r="A6" s="59">
        <v>5</v>
      </c>
      <c r="B6" s="59" t="s">
        <v>245</v>
      </c>
      <c r="C6" s="59" t="s">
        <v>246</v>
      </c>
      <c r="D6" s="53"/>
      <c r="E6" s="44"/>
      <c r="F6" s="44"/>
      <c r="G6" s="44"/>
    </row>
    <row r="7" spans="1:7" ht="60" customHeight="1">
      <c r="A7" s="59">
        <v>6</v>
      </c>
      <c r="B7" s="59" t="s">
        <v>247</v>
      </c>
      <c r="C7" s="59" t="s">
        <v>248</v>
      </c>
      <c r="D7" s="53"/>
      <c r="E7" s="44"/>
      <c r="F7" s="44"/>
      <c r="G7" s="44"/>
    </row>
    <row r="8" spans="1:7" ht="60" customHeight="1">
      <c r="A8" s="59">
        <v>7</v>
      </c>
      <c r="B8" s="59" t="s">
        <v>249</v>
      </c>
      <c r="C8" s="59" t="s">
        <v>250</v>
      </c>
      <c r="D8" s="53"/>
      <c r="E8" s="44"/>
      <c r="F8" s="44"/>
      <c r="G8" s="44"/>
    </row>
    <row r="9" spans="1:7" ht="60" customHeight="1">
      <c r="A9" s="59">
        <v>8</v>
      </c>
      <c r="B9" s="59" t="s">
        <v>251</v>
      </c>
      <c r="C9" s="59" t="s">
        <v>252</v>
      </c>
      <c r="D9" s="53"/>
      <c r="E9" s="44"/>
      <c r="F9" s="44"/>
      <c r="G9" s="44"/>
    </row>
    <row r="10" spans="1:7" ht="60" customHeight="1">
      <c r="A10" s="59">
        <v>9</v>
      </c>
      <c r="B10" s="59" t="s">
        <v>253</v>
      </c>
      <c r="C10" s="59" t="s">
        <v>254</v>
      </c>
      <c r="D10" s="53"/>
      <c r="E10" s="44"/>
      <c r="F10" s="44"/>
      <c r="G10" s="44"/>
    </row>
    <row r="11" spans="1:7" ht="60" customHeight="1">
      <c r="A11" s="59">
        <v>10</v>
      </c>
      <c r="B11" s="59" t="s">
        <v>255</v>
      </c>
      <c r="C11" s="59" t="s">
        <v>256</v>
      </c>
      <c r="D11" s="53"/>
      <c r="E11" s="44"/>
      <c r="F11" s="44"/>
      <c r="G11" s="44"/>
    </row>
    <row r="12" spans="1:7" ht="60" customHeight="1">
      <c r="A12" s="59">
        <v>11</v>
      </c>
      <c r="B12" s="59" t="s">
        <v>257</v>
      </c>
      <c r="C12" s="59" t="s">
        <v>258</v>
      </c>
      <c r="D12" s="53"/>
      <c r="E12" s="44"/>
      <c r="F12" s="44"/>
      <c r="G12" s="44"/>
    </row>
    <row r="13" spans="1:7" ht="60" customHeight="1">
      <c r="A13" s="59">
        <v>12</v>
      </c>
      <c r="B13" s="59" t="s">
        <v>259</v>
      </c>
      <c r="C13" s="59" t="s">
        <v>260</v>
      </c>
      <c r="D13" s="53"/>
      <c r="E13" s="44"/>
      <c r="F13" s="44"/>
      <c r="G13" s="44"/>
    </row>
    <row r="14" spans="1:7" ht="60" customHeight="1">
      <c r="A14" s="59">
        <v>13</v>
      </c>
      <c r="B14" s="59" t="s">
        <v>261</v>
      </c>
      <c r="C14" s="59" t="s">
        <v>262</v>
      </c>
      <c r="D14" s="53"/>
      <c r="E14" s="44"/>
      <c r="F14" s="44"/>
      <c r="G14" s="44"/>
    </row>
    <row r="15" spans="1:7" ht="60" customHeight="1">
      <c r="A15" s="59">
        <v>14</v>
      </c>
      <c r="B15" s="59" t="s">
        <v>263</v>
      </c>
      <c r="C15" s="59" t="s">
        <v>264</v>
      </c>
      <c r="D15" s="53"/>
      <c r="E15" s="44"/>
      <c r="F15" s="44"/>
      <c r="G15" s="44"/>
    </row>
    <row r="16" spans="1:7" ht="60" customHeight="1">
      <c r="A16" s="59">
        <v>15</v>
      </c>
      <c r="B16" s="59" t="s">
        <v>265</v>
      </c>
      <c r="C16" s="59" t="s">
        <v>266</v>
      </c>
      <c r="D16" s="53"/>
      <c r="E16" s="44"/>
      <c r="F16" s="44"/>
      <c r="G16" s="44"/>
    </row>
    <row r="17" spans="1:7" ht="60" customHeight="1">
      <c r="A17" s="59">
        <v>16</v>
      </c>
      <c r="B17" s="59" t="s">
        <v>267</v>
      </c>
      <c r="C17" s="59" t="s">
        <v>268</v>
      </c>
      <c r="D17" s="53"/>
      <c r="E17" s="44"/>
      <c r="F17" s="44"/>
      <c r="G17" s="44"/>
    </row>
    <row r="19" spans="1:7" ht="45" customHeight="1">
      <c r="B19" s="64" t="s">
        <v>269</v>
      </c>
      <c r="C19" s="65"/>
      <c r="D19" s="65"/>
      <c r="E19" s="65"/>
      <c r="F19" s="65"/>
      <c r="G19" s="65"/>
    </row>
  </sheetData>
  <mergeCells count="1">
    <mergeCell ref="B19:G19"/>
  </mergeCells>
  <dataValidations count="1">
    <dataValidation type="list" allowBlank="1" errorTitle="Ongeldige waarde" error="Kies een waarde uit de lijst." sqref="D2:D17" xr:uid="{00000000-0002-0000-0800-000000000000}">
      <formula1>"Geen belemmering,Belemmering,Onbekend,Niet van toepassing"</formula1>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8"/>
  <sheetViews>
    <sheetView topLeftCell="A7" workbookViewId="0">
      <selection activeCell="C24" sqref="C24"/>
    </sheetView>
  </sheetViews>
  <sheetFormatPr defaultRowHeight="15"/>
  <cols>
    <col min="1" max="1" width="40" customWidth="1"/>
    <col min="2" max="2" width="80" customWidth="1"/>
    <col min="3" max="4" width="30" customWidth="1"/>
  </cols>
  <sheetData>
    <row r="1" spans="1:4">
      <c r="A1" s="2" t="s">
        <v>270</v>
      </c>
    </row>
    <row r="2" spans="1:4" ht="150" customHeight="1">
      <c r="A2" s="43" t="s">
        <v>271</v>
      </c>
      <c r="B2" s="44"/>
    </row>
    <row r="3" spans="1:4" ht="90" customHeight="1">
      <c r="A3" s="43" t="s">
        <v>272</v>
      </c>
      <c r="B3" s="44"/>
    </row>
    <row r="4" spans="1:4" ht="90" customHeight="1">
      <c r="A4" s="43" t="s">
        <v>273</v>
      </c>
      <c r="B4" s="44"/>
    </row>
    <row r="5" spans="1:4" ht="90" customHeight="1">
      <c r="A5" s="43" t="s">
        <v>274</v>
      </c>
      <c r="B5" s="44"/>
    </row>
    <row r="6" spans="1:4" ht="90" customHeight="1">
      <c r="A6" s="43" t="s">
        <v>275</v>
      </c>
      <c r="B6" s="44"/>
    </row>
    <row r="7" spans="1:4" ht="90" customHeight="1">
      <c r="A7" s="43" t="s">
        <v>276</v>
      </c>
      <c r="B7" s="44"/>
    </row>
    <row r="8" spans="1:4" ht="90" customHeight="1">
      <c r="A8" s="43" t="s">
        <v>277</v>
      </c>
      <c r="B8" s="44"/>
    </row>
    <row r="10" spans="1:4">
      <c r="A10" s="2" t="s">
        <v>278</v>
      </c>
    </row>
    <row r="11" spans="1:4">
      <c r="A11" s="14" t="s">
        <v>279</v>
      </c>
      <c r="B11" s="14" t="s">
        <v>280</v>
      </c>
      <c r="C11" s="14" t="s">
        <v>281</v>
      </c>
      <c r="D11" s="14" t="s">
        <v>282</v>
      </c>
    </row>
    <row r="12" spans="1:4" ht="45" customHeight="1">
      <c r="A12" s="44"/>
      <c r="B12" s="44"/>
      <c r="C12" s="44"/>
      <c r="D12" s="44"/>
    </row>
    <row r="13" spans="1:4" ht="45" customHeight="1">
      <c r="A13" s="44"/>
      <c r="B13" s="44"/>
      <c r="C13" s="44"/>
      <c r="D13" s="44"/>
    </row>
    <row r="14" spans="1:4" ht="45" customHeight="1">
      <c r="A14" s="44"/>
      <c r="B14" s="44"/>
      <c r="C14" s="44"/>
      <c r="D14" s="44"/>
    </row>
    <row r="15" spans="1:4" ht="45" customHeight="1">
      <c r="A15" s="44"/>
      <c r="B15" s="44"/>
      <c r="C15" s="44"/>
      <c r="D15" s="44"/>
    </row>
    <row r="16" spans="1:4" ht="45" customHeight="1">
      <c r="A16" s="44"/>
      <c r="B16" s="44"/>
      <c r="C16" s="44"/>
      <c r="D16" s="44"/>
    </row>
    <row r="18" spans="1:1">
      <c r="A18" s="41" t="s">
        <v>283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Lees mij</vt:lpstr>
      <vt:lpstr>Overzicht</vt:lpstr>
      <vt:lpstr>Bedrijfsinfo</vt:lpstr>
      <vt:lpstr>Bedrijf</vt:lpstr>
      <vt:lpstr>Markt</vt:lpstr>
      <vt:lpstr>Waardering</vt:lpstr>
      <vt:lpstr>Prijs en kwaliteit</vt:lpstr>
      <vt:lpstr>Management</vt:lpstr>
      <vt:lpstr>Checks</vt:lpstr>
      <vt:lpstr>Pre-mortem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van Wanrooij, Belegger Kees</dc:creator>
  <cp:lastModifiedBy>Kees van Wanrooij</cp:lastModifiedBy>
  <dcterms:created xsi:type="dcterms:W3CDTF">2026-09-12T14:44:10Z</dcterms:created>
  <dcterms:modified xsi:type="dcterms:W3CDTF">2026-09-13T11:50:03Z</dcterms:modified>
</cp:coreProperties>
</file>