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Coding Projects\belegger-kees-methode\05-Resources\Templates\"/>
    </mc:Choice>
  </mc:AlternateContent>
  <xr:revisionPtr revIDLastSave="0" documentId="13_ncr:1_{25648991-447D-4C04-8D8F-105D780F4D50}" xr6:coauthVersionLast="47" xr6:coauthVersionMax="47" xr10:uidLastSave="{00000000-0000-0000-0000-000000000000}"/>
  <bookViews>
    <workbookView xWindow="-120" yWindow="-120" windowWidth="29040" windowHeight="15720" tabRatio="810" xr2:uid="{00000000-000D-0000-FFFF-FFFF00000000}"/>
  </bookViews>
  <sheets>
    <sheet name="Lees mij" sheetId="1" r:id="rId1"/>
    <sheet name="Invoer" sheetId="2" r:id="rId2"/>
    <sheet name="EV en kapitaalstructuur" sheetId="3" r:id="rId3"/>
    <sheet name="Historie" sheetId="4" r:id="rId4"/>
    <sheet name="Parameters" sheetId="5" r:id="rId5"/>
    <sheet name="Model" sheetId="6" r:id="rId6"/>
    <sheet name="Gevoeligheid" sheetId="7" r:id="rId7"/>
    <sheet name="Rode vlaggen" sheetId="8" r:id="rId8"/>
    <sheet name="Analisten" sheetId="9" r:id="rId9"/>
    <sheet name="Technisch en instap" sheetId="10" r:id="rId10"/>
    <sheet name="Controles"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5" i="4" l="1"/>
  <c r="M5" i="4"/>
  <c r="B37" i="11"/>
  <c r="B36" i="11"/>
  <c r="B35" i="11"/>
  <c r="B34" i="11"/>
  <c r="B33" i="11"/>
  <c r="B32" i="11"/>
  <c r="B28" i="11"/>
  <c r="B27" i="11"/>
  <c r="B22" i="11"/>
  <c r="B21" i="11"/>
  <c r="B20" i="11"/>
  <c r="B19" i="11"/>
  <c r="B17" i="11"/>
  <c r="B16" i="11"/>
  <c r="B15" i="11"/>
  <c r="B13" i="11"/>
  <c r="B12" i="11"/>
  <c r="B11" i="11"/>
  <c r="B8" i="11"/>
  <c r="B7" i="11"/>
  <c r="B5" i="11"/>
  <c r="B4" i="11"/>
  <c r="B3" i="11"/>
  <c r="B2" i="11"/>
  <c r="D39" i="10"/>
  <c r="D38" i="10"/>
  <c r="D37" i="10"/>
  <c r="B16" i="10"/>
  <c r="B10" i="10"/>
  <c r="B5" i="10"/>
  <c r="B3" i="10"/>
  <c r="B2" i="10"/>
  <c r="A9" i="7"/>
  <c r="D55" i="6"/>
  <c r="C55" i="6"/>
  <c r="B55" i="6"/>
  <c r="E55" i="6" s="1"/>
  <c r="D54" i="6"/>
  <c r="C54" i="6"/>
  <c r="B54" i="6"/>
  <c r="D52" i="6"/>
  <c r="C52" i="6"/>
  <c r="B52" i="6"/>
  <c r="D50" i="6"/>
  <c r="C50" i="6"/>
  <c r="B50" i="6"/>
  <c r="B33" i="6"/>
  <c r="B5" i="6"/>
  <c r="A2" i="6"/>
  <c r="A1" i="6"/>
  <c r="B76" i="5"/>
  <c r="B71" i="5"/>
  <c r="B65" i="5"/>
  <c r="C65" i="5" s="1"/>
  <c r="D65" i="5" s="1"/>
  <c r="E65" i="5" s="1"/>
  <c r="F65" i="5" s="1"/>
  <c r="G65" i="5" s="1"/>
  <c r="H65" i="5" s="1"/>
  <c r="I65" i="5" s="1"/>
  <c r="J65" i="5" s="1"/>
  <c r="K65" i="5" s="1"/>
  <c r="L65" i="5" s="1"/>
  <c r="M65" i="5" s="1"/>
  <c r="B63" i="5"/>
  <c r="B61" i="5"/>
  <c r="B59" i="5"/>
  <c r="M58" i="5"/>
  <c r="L58" i="5"/>
  <c r="K58" i="5"/>
  <c r="J58" i="5"/>
  <c r="I58" i="5"/>
  <c r="H58" i="5"/>
  <c r="G58" i="5"/>
  <c r="F58" i="5"/>
  <c r="E58" i="5"/>
  <c r="D58" i="5"/>
  <c r="C58" i="5"/>
  <c r="C59" i="5" s="1"/>
  <c r="B58" i="5"/>
  <c r="B47" i="5"/>
  <c r="B41" i="5"/>
  <c r="C41" i="5" s="1"/>
  <c r="D41" i="5" s="1"/>
  <c r="E41" i="5" s="1"/>
  <c r="F41" i="5" s="1"/>
  <c r="G41" i="5" s="1"/>
  <c r="H41" i="5" s="1"/>
  <c r="I41" i="5" s="1"/>
  <c r="J41" i="5" s="1"/>
  <c r="K41" i="5" s="1"/>
  <c r="L41" i="5" s="1"/>
  <c r="M41" i="5" s="1"/>
  <c r="B39" i="5"/>
  <c r="B37" i="5"/>
  <c r="B35" i="5"/>
  <c r="M34" i="5"/>
  <c r="L34" i="5"/>
  <c r="K34" i="5"/>
  <c r="J34" i="5"/>
  <c r="I34" i="5"/>
  <c r="H34" i="5"/>
  <c r="G34" i="5"/>
  <c r="F34" i="5"/>
  <c r="E34" i="5"/>
  <c r="D34" i="5"/>
  <c r="C34" i="5"/>
  <c r="B34" i="5"/>
  <c r="B23" i="5"/>
  <c r="B17" i="5"/>
  <c r="C17" i="5" s="1"/>
  <c r="D17" i="5" s="1"/>
  <c r="E17" i="5" s="1"/>
  <c r="F17" i="5" s="1"/>
  <c r="G17" i="5" s="1"/>
  <c r="H17" i="5" s="1"/>
  <c r="I17" i="5" s="1"/>
  <c r="J17" i="5" s="1"/>
  <c r="K17" i="5" s="1"/>
  <c r="L17" i="5" s="1"/>
  <c r="M17" i="5" s="1"/>
  <c r="B15" i="5"/>
  <c r="B13" i="5"/>
  <c r="B11" i="5"/>
  <c r="M10" i="5"/>
  <c r="L10" i="5"/>
  <c r="K10" i="5"/>
  <c r="J10" i="5"/>
  <c r="I10" i="5"/>
  <c r="H10" i="5"/>
  <c r="G10" i="5"/>
  <c r="F10" i="5"/>
  <c r="E10" i="5"/>
  <c r="D10" i="5"/>
  <c r="C10" i="5"/>
  <c r="C11" i="5" s="1"/>
  <c r="B10" i="5"/>
  <c r="I44" i="4"/>
  <c r="H44" i="4"/>
  <c r="G44" i="4"/>
  <c r="F44" i="4"/>
  <c r="E44" i="4"/>
  <c r="D44" i="4"/>
  <c r="C44" i="4"/>
  <c r="B44" i="4"/>
  <c r="I42" i="4"/>
  <c r="H42" i="4"/>
  <c r="G42" i="4"/>
  <c r="F42" i="4"/>
  <c r="K33" i="4"/>
  <c r="J33" i="4"/>
  <c r="I33" i="4"/>
  <c r="H33" i="4"/>
  <c r="G33" i="4"/>
  <c r="M33" i="4" s="1"/>
  <c r="F33" i="4"/>
  <c r="E33" i="4"/>
  <c r="D33" i="4"/>
  <c r="C33" i="4"/>
  <c r="B33" i="4"/>
  <c r="N33" i="4" s="1"/>
  <c r="K31" i="4"/>
  <c r="K36" i="4" s="1"/>
  <c r="J31" i="4"/>
  <c r="J36" i="4" s="1"/>
  <c r="I31" i="4"/>
  <c r="I36" i="4" s="1"/>
  <c r="H31" i="4"/>
  <c r="H36" i="4" s="1"/>
  <c r="G31" i="4"/>
  <c r="G36" i="4" s="1"/>
  <c r="F31" i="4"/>
  <c r="F36" i="4" s="1"/>
  <c r="E31" i="4"/>
  <c r="E36" i="4" s="1"/>
  <c r="D31" i="4"/>
  <c r="D36" i="4" s="1"/>
  <c r="C31" i="4"/>
  <c r="C36" i="4" s="1"/>
  <c r="B31" i="4"/>
  <c r="B36" i="4" s="1"/>
  <c r="K26" i="4"/>
  <c r="K35" i="4" s="1"/>
  <c r="J26" i="4"/>
  <c r="J35" i="4" s="1"/>
  <c r="I26" i="4"/>
  <c r="I35" i="4" s="1"/>
  <c r="H26" i="4"/>
  <c r="H35" i="4" s="1"/>
  <c r="G26" i="4"/>
  <c r="G35" i="4" s="1"/>
  <c r="F26" i="4"/>
  <c r="F35" i="4" s="1"/>
  <c r="E26" i="4"/>
  <c r="E35" i="4" s="1"/>
  <c r="D26" i="4"/>
  <c r="D35" i="4" s="1"/>
  <c r="C26" i="4"/>
  <c r="C35" i="4" s="1"/>
  <c r="B26" i="4"/>
  <c r="B35" i="4" s="1"/>
  <c r="K25" i="4"/>
  <c r="J25" i="4"/>
  <c r="I25" i="4"/>
  <c r="H25" i="4"/>
  <c r="G25" i="4"/>
  <c r="F25" i="4"/>
  <c r="E25" i="4"/>
  <c r="D25" i="4"/>
  <c r="C25" i="4"/>
  <c r="K23" i="4"/>
  <c r="J23" i="4"/>
  <c r="I23" i="4"/>
  <c r="H23" i="4"/>
  <c r="G23" i="4"/>
  <c r="M23" i="4" s="1"/>
  <c r="F23" i="4"/>
  <c r="E23" i="4"/>
  <c r="D23" i="4"/>
  <c r="C23" i="4"/>
  <c r="B23" i="4"/>
  <c r="N23" i="4" s="1"/>
  <c r="K21" i="4"/>
  <c r="J21" i="4"/>
  <c r="I21" i="4"/>
  <c r="H21" i="4"/>
  <c r="G21" i="4"/>
  <c r="F21" i="4"/>
  <c r="E21" i="4"/>
  <c r="D21" i="4"/>
  <c r="C21" i="4"/>
  <c r="B21" i="4"/>
  <c r="K20" i="4"/>
  <c r="J20" i="4"/>
  <c r="I20" i="4"/>
  <c r="H20" i="4"/>
  <c r="G20" i="4"/>
  <c r="F20" i="4"/>
  <c r="E20" i="4"/>
  <c r="D20" i="4"/>
  <c r="C20" i="4"/>
  <c r="B20" i="4"/>
  <c r="K15" i="4"/>
  <c r="J15" i="4"/>
  <c r="I15" i="4"/>
  <c r="H15" i="4"/>
  <c r="G15" i="4"/>
  <c r="F15" i="4"/>
  <c r="E15" i="4"/>
  <c r="D15" i="4"/>
  <c r="C15" i="4"/>
  <c r="B15" i="4"/>
  <c r="K13" i="4"/>
  <c r="J13" i="4"/>
  <c r="I13" i="4"/>
  <c r="H13" i="4"/>
  <c r="G13" i="4"/>
  <c r="M13" i="4" s="1"/>
  <c r="F13" i="4"/>
  <c r="E13" i="4"/>
  <c r="D13" i="4"/>
  <c r="C13" i="4"/>
  <c r="B13" i="4"/>
  <c r="K11" i="4"/>
  <c r="J11" i="4"/>
  <c r="I11" i="4"/>
  <c r="H11" i="4"/>
  <c r="G11" i="4"/>
  <c r="F11" i="4"/>
  <c r="E11" i="4"/>
  <c r="D11" i="4"/>
  <c r="C11" i="4"/>
  <c r="B11" i="4"/>
  <c r="K9" i="4"/>
  <c r="J9" i="4"/>
  <c r="I9" i="4"/>
  <c r="H9" i="4"/>
  <c r="G9" i="4"/>
  <c r="F9" i="4"/>
  <c r="E9" i="4"/>
  <c r="D9" i="4"/>
  <c r="C9" i="4"/>
  <c r="B9" i="4"/>
  <c r="K6" i="4"/>
  <c r="J6" i="4"/>
  <c r="I6" i="4"/>
  <c r="H6" i="4"/>
  <c r="G6" i="4"/>
  <c r="F6" i="4"/>
  <c r="E6" i="4"/>
  <c r="D6" i="4"/>
  <c r="C6" i="4"/>
  <c r="B6" i="4"/>
  <c r="K4" i="4"/>
  <c r="J4" i="4"/>
  <c r="I4" i="4"/>
  <c r="H4" i="4"/>
  <c r="G4" i="4"/>
  <c r="F4" i="4"/>
  <c r="E4" i="4"/>
  <c r="D4" i="4"/>
  <c r="C4" i="4"/>
  <c r="N4" i="4" s="1"/>
  <c r="N3" i="4"/>
  <c r="M3" i="4"/>
  <c r="B45" i="3"/>
  <c r="B44" i="3"/>
  <c r="B43" i="3"/>
  <c r="B42" i="3"/>
  <c r="B32" i="3"/>
  <c r="C32" i="3" s="1"/>
  <c r="B31" i="3"/>
  <c r="C31" i="3" s="1"/>
  <c r="C30" i="3"/>
  <c r="B30" i="3"/>
  <c r="B29" i="3"/>
  <c r="C29" i="3" s="1"/>
  <c r="B22" i="3"/>
  <c r="B7" i="3"/>
  <c r="B33" i="3" s="1"/>
  <c r="C33" i="3" s="1"/>
  <c r="B34" i="2"/>
  <c r="B29" i="2"/>
  <c r="B28" i="2"/>
  <c r="B27" i="2"/>
  <c r="B20" i="2"/>
  <c r="E54" i="6" l="1"/>
  <c r="M36" i="4"/>
  <c r="N11" i="4"/>
  <c r="C35" i="5"/>
  <c r="B19" i="5"/>
  <c r="N36" i="4"/>
  <c r="M25" i="4"/>
  <c r="M21" i="4"/>
  <c r="N15" i="4"/>
  <c r="M9" i="4"/>
  <c r="M11" i="4"/>
  <c r="N9" i="4"/>
  <c r="M6" i="4"/>
  <c r="N21" i="4"/>
  <c r="M15" i="4"/>
  <c r="N13" i="4"/>
  <c r="E52" i="6"/>
  <c r="D11" i="5"/>
  <c r="N6" i="4"/>
  <c r="B67" i="5"/>
  <c r="B43" i="5"/>
  <c r="B87" i="5" s="1"/>
  <c r="B23" i="6" s="1"/>
  <c r="M4" i="4"/>
  <c r="M35" i="4"/>
  <c r="N25" i="4"/>
  <c r="B7" i="6"/>
  <c r="C61" i="5"/>
  <c r="C13" i="5"/>
  <c r="B26" i="7"/>
  <c r="B25" i="7"/>
  <c r="B41" i="3"/>
  <c r="B23" i="3"/>
  <c r="B28" i="3"/>
  <c r="C28" i="3" s="1"/>
  <c r="B40" i="3"/>
  <c r="B89" i="5"/>
  <c r="B91" i="5"/>
  <c r="B90" i="5"/>
  <c r="B41" i="6" s="1"/>
  <c r="B88" i="5"/>
  <c r="H84" i="5"/>
  <c r="H20" i="6" s="1"/>
  <c r="G84" i="5"/>
  <c r="G20" i="6" s="1"/>
  <c r="F84" i="5"/>
  <c r="F20" i="6" s="1"/>
  <c r="E84" i="5"/>
  <c r="E20" i="6" s="1"/>
  <c r="D84" i="5"/>
  <c r="D20" i="6" s="1"/>
  <c r="C84" i="5"/>
  <c r="C20" i="6" s="1"/>
  <c r="B84" i="5"/>
  <c r="B83" i="5"/>
  <c r="B19" i="6" s="1"/>
  <c r="M82" i="5"/>
  <c r="M18" i="6" s="1"/>
  <c r="L82" i="5"/>
  <c r="L18" i="6" s="1"/>
  <c r="K82" i="5"/>
  <c r="K18" i="6" s="1"/>
  <c r="J82" i="5"/>
  <c r="J18" i="6" s="1"/>
  <c r="I82" i="5"/>
  <c r="I18" i="6" s="1"/>
  <c r="H82" i="5"/>
  <c r="H18" i="6" s="1"/>
  <c r="G82" i="5"/>
  <c r="G18" i="6" s="1"/>
  <c r="F82" i="5"/>
  <c r="F18" i="6" s="1"/>
  <c r="E82" i="5"/>
  <c r="E18" i="6" s="1"/>
  <c r="J80" i="5"/>
  <c r="J16" i="6" s="1"/>
  <c r="C82" i="5"/>
  <c r="C18" i="6" s="1"/>
  <c r="B81" i="5"/>
  <c r="B17" i="6" s="1"/>
  <c r="M80" i="5"/>
  <c r="M16" i="6" s="1"/>
  <c r="L80" i="5"/>
  <c r="L16" i="6" s="1"/>
  <c r="K80" i="5"/>
  <c r="K16" i="6" s="1"/>
  <c r="I80" i="5"/>
  <c r="I16" i="6" s="1"/>
  <c r="H80" i="5"/>
  <c r="H16" i="6" s="1"/>
  <c r="G80" i="5"/>
  <c r="G16" i="6" s="1"/>
  <c r="F80" i="5"/>
  <c r="F16" i="6" s="1"/>
  <c r="E80" i="5"/>
  <c r="E16" i="6" s="1"/>
  <c r="D80" i="5"/>
  <c r="D16" i="6" s="1"/>
  <c r="C80" i="5"/>
  <c r="C16" i="6" s="1"/>
  <c r="K84" i="5"/>
  <c r="K20" i="6" s="1"/>
  <c r="B79" i="5"/>
  <c r="B15" i="6" s="1"/>
  <c r="M78" i="5"/>
  <c r="L78" i="5"/>
  <c r="K78" i="5"/>
  <c r="J78" i="5"/>
  <c r="I78" i="5"/>
  <c r="H78" i="5"/>
  <c r="G78" i="5"/>
  <c r="F78" i="5"/>
  <c r="E78" i="5"/>
  <c r="C78" i="5"/>
  <c r="B77" i="5"/>
  <c r="L84" i="5"/>
  <c r="L20" i="6" s="1"/>
  <c r="M84" i="5"/>
  <c r="M20" i="6" s="1"/>
  <c r="B85" i="5"/>
  <c r="B21" i="6" s="1"/>
  <c r="C85" i="5"/>
  <c r="C21" i="6" s="1"/>
  <c r="D85" i="5"/>
  <c r="D21" i="6" s="1"/>
  <c r="E85" i="5"/>
  <c r="E21" i="6" s="1"/>
  <c r="F85" i="5"/>
  <c r="F21" i="6" s="1"/>
  <c r="G85" i="5"/>
  <c r="G21" i="6" s="1"/>
  <c r="H85" i="5"/>
  <c r="H21" i="6" s="1"/>
  <c r="I85" i="5"/>
  <c r="I21" i="6" s="1"/>
  <c r="J85" i="5"/>
  <c r="J21" i="6" s="1"/>
  <c r="D82" i="5"/>
  <c r="D18" i="6" s="1"/>
  <c r="K85" i="5"/>
  <c r="K21" i="6" s="1"/>
  <c r="L85" i="5"/>
  <c r="L21" i="6" s="1"/>
  <c r="M85" i="5"/>
  <c r="M21" i="6" s="1"/>
  <c r="D78" i="5"/>
  <c r="B78" i="5"/>
  <c r="J84" i="5"/>
  <c r="J20" i="6" s="1"/>
  <c r="I84" i="5"/>
  <c r="I20" i="6" s="1"/>
  <c r="B42" i="5"/>
  <c r="B86" i="5" s="1"/>
  <c r="B22" i="6" s="1"/>
  <c r="B66" i="5"/>
  <c r="B18" i="5"/>
  <c r="B30" i="2"/>
  <c r="B14" i="5"/>
  <c r="B62" i="5"/>
  <c r="B38" i="5"/>
  <c r="B82" i="5" s="1"/>
  <c r="B18" i="6" s="1"/>
  <c r="B12" i="5"/>
  <c r="B36" i="5"/>
  <c r="B80" i="5" s="1"/>
  <c r="B16" i="6" s="1"/>
  <c r="B60" i="5"/>
  <c r="B27" i="3"/>
  <c r="B21" i="2"/>
  <c r="B6" i="11" s="1"/>
  <c r="D59" i="5"/>
  <c r="N35" i="4"/>
  <c r="C37" i="5" l="1"/>
  <c r="C42" i="5" s="1"/>
  <c r="B11" i="9"/>
  <c r="C79" i="5"/>
  <c r="D35" i="5"/>
  <c r="D13" i="5"/>
  <c r="E11" i="5"/>
  <c r="C63" i="5"/>
  <c r="C67" i="5" s="1"/>
  <c r="C71" i="5" s="1"/>
  <c r="C66" i="5"/>
  <c r="C18" i="5"/>
  <c r="C15" i="5"/>
  <c r="C19" i="5" s="1"/>
  <c r="C23" i="5" s="1"/>
  <c r="B8" i="6"/>
  <c r="B43" i="6" s="1"/>
  <c r="B3" i="7"/>
  <c r="C3" i="7"/>
  <c r="D3" i="7"/>
  <c r="E3" i="7"/>
  <c r="F3" i="7"/>
  <c r="B44" i="6"/>
  <c r="A14" i="7"/>
  <c r="A15" i="7"/>
  <c r="A16" i="7"/>
  <c r="A17" i="7"/>
  <c r="A18" i="7"/>
  <c r="A8" i="7"/>
  <c r="A4" i="7"/>
  <c r="A5" i="7"/>
  <c r="A6" i="7"/>
  <c r="A7" i="7"/>
  <c r="C14" i="6"/>
  <c r="C15" i="6"/>
  <c r="B23" i="7"/>
  <c r="B24" i="7" s="1"/>
  <c r="B34" i="3"/>
  <c r="B46" i="3" s="1"/>
  <c r="C27" i="3"/>
  <c r="C34" i="3" s="1"/>
  <c r="B47" i="3" s="1"/>
  <c r="E59" i="5"/>
  <c r="D61" i="5"/>
  <c r="F11" i="5"/>
  <c r="E13" i="5"/>
  <c r="B12" i="9"/>
  <c r="B15" i="9" s="1"/>
  <c r="C81" i="5" l="1"/>
  <c r="C17" i="6" s="1"/>
  <c r="C39" i="5"/>
  <c r="D79" i="5"/>
  <c r="E35" i="5"/>
  <c r="D37" i="5"/>
  <c r="D18" i="5"/>
  <c r="D15" i="5"/>
  <c r="D19" i="5" s="1"/>
  <c r="D23" i="5" s="1"/>
  <c r="C86" i="5"/>
  <c r="C22" i="6" s="1"/>
  <c r="B13" i="9"/>
  <c r="C83" i="5"/>
  <c r="C19" i="6" s="1"/>
  <c r="C43" i="5"/>
  <c r="F59" i="5"/>
  <c r="E61" i="5"/>
  <c r="D66" i="5"/>
  <c r="D63" i="5"/>
  <c r="D67" i="5" s="1"/>
  <c r="D71" i="5" s="1"/>
  <c r="G11" i="5"/>
  <c r="F13" i="5"/>
  <c r="E18" i="5"/>
  <c r="E15" i="5"/>
  <c r="E19" i="5" s="1"/>
  <c r="E23" i="5" s="1"/>
  <c r="B45" i="6"/>
  <c r="B26" i="11" s="1"/>
  <c r="B35" i="7"/>
  <c r="B37" i="7"/>
  <c r="B39" i="7"/>
  <c r="B31" i="7"/>
  <c r="B33" i="7"/>
  <c r="D15" i="6" l="1"/>
  <c r="D14" i="6"/>
  <c r="E79" i="5"/>
  <c r="F35" i="5"/>
  <c r="E37" i="5"/>
  <c r="D81" i="5"/>
  <c r="D17" i="6" s="1"/>
  <c r="D42" i="5"/>
  <c r="D39" i="5"/>
  <c r="C87" i="5"/>
  <c r="C47" i="5"/>
  <c r="G59" i="5"/>
  <c r="F61" i="5"/>
  <c r="E66" i="5"/>
  <c r="E63" i="5"/>
  <c r="E67" i="5" s="1"/>
  <c r="E71" i="5" s="1"/>
  <c r="H11" i="5"/>
  <c r="G13" i="5"/>
  <c r="F18" i="5"/>
  <c r="F15" i="5"/>
  <c r="F19" i="5" s="1"/>
  <c r="F23" i="5" s="1"/>
  <c r="B36" i="7"/>
  <c r="B38" i="7"/>
  <c r="B40" i="7"/>
  <c r="B32" i="7"/>
  <c r="B34" i="7"/>
  <c r="C35" i="7" l="1"/>
  <c r="C37" i="7"/>
  <c r="C39" i="7"/>
  <c r="C31" i="7"/>
  <c r="C33" i="7"/>
  <c r="E15" i="6"/>
  <c r="E14" i="6"/>
  <c r="F79" i="5"/>
  <c r="G35" i="5"/>
  <c r="F37" i="5"/>
  <c r="E81" i="5"/>
  <c r="E17" i="6" s="1"/>
  <c r="E39" i="5"/>
  <c r="E42" i="5"/>
  <c r="E86" i="5" s="1"/>
  <c r="E22" i="6" s="1"/>
  <c r="D86" i="5"/>
  <c r="D22" i="6" s="1"/>
  <c r="B14" i="9"/>
  <c r="B16" i="9" s="1"/>
  <c r="D83" i="5"/>
  <c r="D19" i="6" s="1"/>
  <c r="D43" i="5"/>
  <c r="C5" i="6"/>
  <c r="C23" i="6"/>
  <c r="C91" i="5"/>
  <c r="H59" i="5"/>
  <c r="G61" i="5"/>
  <c r="F66" i="5"/>
  <c r="F63" i="5"/>
  <c r="F67" i="5" s="1"/>
  <c r="F71" i="5" s="1"/>
  <c r="I11" i="5"/>
  <c r="H13" i="5"/>
  <c r="G18" i="5"/>
  <c r="G15" i="5"/>
  <c r="G19" i="5" s="1"/>
  <c r="G23" i="5" s="1"/>
  <c r="F15" i="6"/>
  <c r="F14" i="6"/>
  <c r="G79" i="5"/>
  <c r="H35" i="5"/>
  <c r="G37" i="5"/>
  <c r="F81" i="5"/>
  <c r="F17" i="6" s="1"/>
  <c r="F39" i="5"/>
  <c r="F42" i="5"/>
  <c r="F86" i="5" s="1"/>
  <c r="F22" i="6" s="1"/>
  <c r="E83" i="5"/>
  <c r="E19" i="6" s="1"/>
  <c r="E43" i="5"/>
  <c r="D87" i="5"/>
  <c r="D47" i="5"/>
  <c r="D35" i="7"/>
  <c r="C36" i="7"/>
  <c r="D37" i="7"/>
  <c r="C38" i="7"/>
  <c r="D39" i="7"/>
  <c r="C40" i="7"/>
  <c r="D31" i="7" l="1"/>
  <c r="C32" i="7"/>
  <c r="D33" i="7"/>
  <c r="C34" i="7"/>
  <c r="C7" i="6"/>
  <c r="C26" i="6"/>
  <c r="I59" i="5"/>
  <c r="H61" i="5"/>
  <c r="G66" i="5"/>
  <c r="G63" i="5"/>
  <c r="G67" i="5" s="1"/>
  <c r="G71" i="5" s="1"/>
  <c r="J11" i="5"/>
  <c r="I13" i="5"/>
  <c r="H15" i="5"/>
  <c r="H19" i="5" s="1"/>
  <c r="H23" i="5" s="1"/>
  <c r="H18" i="5"/>
  <c r="G15" i="6"/>
  <c r="G14" i="6"/>
  <c r="H79" i="5"/>
  <c r="I35" i="5"/>
  <c r="H37" i="5"/>
  <c r="G81" i="5"/>
  <c r="G17" i="6" s="1"/>
  <c r="G42" i="5"/>
  <c r="G86" i="5" s="1"/>
  <c r="G22" i="6" s="1"/>
  <c r="G39" i="5"/>
  <c r="F83" i="5"/>
  <c r="F19" i="6" s="1"/>
  <c r="F43" i="5"/>
  <c r="E87" i="5"/>
  <c r="E47" i="5"/>
  <c r="E91" i="5" s="1"/>
  <c r="D23" i="6"/>
  <c r="D26" i="6" s="1"/>
  <c r="D5" i="6"/>
  <c r="E35" i="7"/>
  <c r="D36" i="7"/>
  <c r="E37" i="7"/>
  <c r="D38" i="7"/>
  <c r="E39" i="7"/>
  <c r="D40" i="7"/>
  <c r="D91" i="5"/>
  <c r="D32" i="7" l="1"/>
  <c r="E31" i="7"/>
  <c r="E33" i="7"/>
  <c r="D34" i="7"/>
  <c r="J59" i="5"/>
  <c r="I61" i="5"/>
  <c r="H66" i="5"/>
  <c r="H63" i="5"/>
  <c r="H67" i="5" s="1"/>
  <c r="H71" i="5" s="1"/>
  <c r="K11" i="5"/>
  <c r="J13" i="5"/>
  <c r="I18" i="5"/>
  <c r="I15" i="5"/>
  <c r="I19" i="5" s="1"/>
  <c r="I23" i="5" s="1"/>
  <c r="H15" i="6"/>
  <c r="H14" i="6"/>
  <c r="I79" i="5"/>
  <c r="J35" i="5"/>
  <c r="I37" i="5"/>
  <c r="H81" i="5"/>
  <c r="H17" i="6" s="1"/>
  <c r="H42" i="5"/>
  <c r="H86" i="5" s="1"/>
  <c r="H22" i="6" s="1"/>
  <c r="H39" i="5"/>
  <c r="G83" i="5"/>
  <c r="G19" i="6" s="1"/>
  <c r="G43" i="5"/>
  <c r="F87" i="5"/>
  <c r="F47" i="5"/>
  <c r="E23" i="6"/>
  <c r="E5" i="6"/>
  <c r="F35" i="7"/>
  <c r="E36" i="7"/>
  <c r="F37" i="7"/>
  <c r="E38" i="7"/>
  <c r="F39" i="7"/>
  <c r="E40" i="7"/>
  <c r="D7" i="6"/>
  <c r="F31" i="7" l="1"/>
  <c r="F32" i="7" s="1"/>
  <c r="E32" i="7"/>
  <c r="F33" i="7"/>
  <c r="E34" i="7"/>
  <c r="K59" i="5"/>
  <c r="J61" i="5"/>
  <c r="I63" i="5"/>
  <c r="I67" i="5" s="1"/>
  <c r="I71" i="5" s="1"/>
  <c r="I66" i="5"/>
  <c r="L11" i="5"/>
  <c r="K13" i="5"/>
  <c r="J15" i="5"/>
  <c r="J19" i="5" s="1"/>
  <c r="J23" i="5" s="1"/>
  <c r="J18" i="5"/>
  <c r="I15" i="6"/>
  <c r="I14" i="6"/>
  <c r="J79" i="5"/>
  <c r="K35" i="5"/>
  <c r="J37" i="5"/>
  <c r="I81" i="5"/>
  <c r="I17" i="6" s="1"/>
  <c r="I39" i="5"/>
  <c r="I42" i="5"/>
  <c r="I86" i="5" s="1"/>
  <c r="I22" i="6" s="1"/>
  <c r="H83" i="5"/>
  <c r="H19" i="6" s="1"/>
  <c r="H43" i="5"/>
  <c r="G87" i="5"/>
  <c r="G47" i="5"/>
  <c r="G91" i="5" s="1"/>
  <c r="F5" i="6"/>
  <c r="F23" i="6"/>
  <c r="F91" i="5"/>
  <c r="E26" i="6"/>
  <c r="E7" i="6"/>
  <c r="G35" i="7"/>
  <c r="F36" i="7"/>
  <c r="G37" i="7"/>
  <c r="F38" i="7"/>
  <c r="G39" i="7"/>
  <c r="F40" i="7"/>
  <c r="G31" i="7"/>
  <c r="G33" i="7" l="1"/>
  <c r="F34" i="7"/>
  <c r="F7" i="6"/>
  <c r="L59" i="5"/>
  <c r="K61" i="5"/>
  <c r="J66" i="5"/>
  <c r="J63" i="5"/>
  <c r="J67" i="5" s="1"/>
  <c r="J71" i="5" s="1"/>
  <c r="M11" i="5"/>
  <c r="B10" i="11" s="1"/>
  <c r="L13" i="5"/>
  <c r="K18" i="5"/>
  <c r="K15" i="5"/>
  <c r="K19" i="5" s="1"/>
  <c r="K23" i="5" s="1"/>
  <c r="J15" i="6"/>
  <c r="J14" i="6"/>
  <c r="K79" i="5"/>
  <c r="L35" i="5"/>
  <c r="K37" i="5"/>
  <c r="J81" i="5"/>
  <c r="J17" i="6" s="1"/>
  <c r="J42" i="5"/>
  <c r="J86" i="5" s="1"/>
  <c r="J22" i="6" s="1"/>
  <c r="J39" i="5"/>
  <c r="I83" i="5"/>
  <c r="I19" i="6" s="1"/>
  <c r="I43" i="5"/>
  <c r="H87" i="5"/>
  <c r="H47" i="5"/>
  <c r="H91" i="5" s="1"/>
  <c r="G23" i="6"/>
  <c r="G5" i="6"/>
  <c r="H35" i="7"/>
  <c r="G36" i="7"/>
  <c r="H37" i="7"/>
  <c r="G38" i="7"/>
  <c r="H39" i="7"/>
  <c r="G40" i="7"/>
  <c r="H31" i="7"/>
  <c r="G32" i="7"/>
  <c r="H33" i="7"/>
  <c r="G34" i="7"/>
  <c r="F26" i="6"/>
  <c r="M59" i="5" l="1"/>
  <c r="L61" i="5"/>
  <c r="K63" i="5"/>
  <c r="K67" i="5" s="1"/>
  <c r="K71" i="5" s="1"/>
  <c r="K66" i="5"/>
  <c r="B51" i="6"/>
  <c r="M13" i="5"/>
  <c r="L18" i="5"/>
  <c r="L15" i="5"/>
  <c r="L19" i="5" s="1"/>
  <c r="L23" i="5" s="1"/>
  <c r="K15" i="6"/>
  <c r="K14" i="6"/>
  <c r="L79" i="5"/>
  <c r="M35" i="5"/>
  <c r="L37" i="5"/>
  <c r="K81" i="5"/>
  <c r="K17" i="6" s="1"/>
  <c r="K42" i="5"/>
  <c r="K86" i="5" s="1"/>
  <c r="K22" i="6" s="1"/>
  <c r="K39" i="5"/>
  <c r="J83" i="5"/>
  <c r="J19" i="6" s="1"/>
  <c r="J43" i="5"/>
  <c r="I87" i="5"/>
  <c r="I47" i="5"/>
  <c r="I91" i="5" s="1"/>
  <c r="H5" i="6"/>
  <c r="H23" i="6"/>
  <c r="H26" i="6" s="1"/>
  <c r="G26" i="6"/>
  <c r="G7" i="6"/>
  <c r="I35" i="7"/>
  <c r="H36" i="7"/>
  <c r="I37" i="7"/>
  <c r="H38" i="7"/>
  <c r="I39" i="7"/>
  <c r="H40" i="7"/>
  <c r="I31" i="7"/>
  <c r="H32" i="7"/>
  <c r="I33" i="7"/>
  <c r="H34" i="7"/>
  <c r="B18" i="11" l="1"/>
  <c r="D51" i="6"/>
  <c r="M61" i="5"/>
  <c r="L66" i="5"/>
  <c r="L63" i="5"/>
  <c r="L67" i="5" s="1"/>
  <c r="L71" i="5" s="1"/>
  <c r="M18" i="5"/>
  <c r="M15" i="5"/>
  <c r="M19" i="5" s="1"/>
  <c r="L15" i="6"/>
  <c r="L14" i="6"/>
  <c r="B14" i="11"/>
  <c r="M79" i="5"/>
  <c r="M37" i="5"/>
  <c r="C51" i="6"/>
  <c r="L81" i="5"/>
  <c r="L17" i="6" s="1"/>
  <c r="L42" i="5"/>
  <c r="L86" i="5" s="1"/>
  <c r="L22" i="6" s="1"/>
  <c r="L39" i="5"/>
  <c r="K83" i="5"/>
  <c r="K19" i="6" s="1"/>
  <c r="K43" i="5"/>
  <c r="J87" i="5"/>
  <c r="J47" i="5"/>
  <c r="J91" i="5" s="1"/>
  <c r="I5" i="6"/>
  <c r="I7" i="6" s="1"/>
  <c r="I23" i="6"/>
  <c r="I26" i="6" s="1"/>
  <c r="J35" i="7"/>
  <c r="I36" i="7"/>
  <c r="J37" i="7"/>
  <c r="I38" i="7"/>
  <c r="J39" i="7"/>
  <c r="I40" i="7"/>
  <c r="J31" i="7"/>
  <c r="I32" i="7"/>
  <c r="J33" i="7"/>
  <c r="I34" i="7"/>
  <c r="H7" i="6"/>
  <c r="M23" i="5" l="1"/>
  <c r="B59" i="6" s="1"/>
  <c r="M66" i="5"/>
  <c r="M63" i="5"/>
  <c r="M67" i="5" s="1"/>
  <c r="M71" i="5" s="1"/>
  <c r="D59" i="6" s="1"/>
  <c r="B53" i="6"/>
  <c r="B56" i="6"/>
  <c r="B60" i="6"/>
  <c r="M15" i="6"/>
  <c r="M14" i="6"/>
  <c r="M81" i="5"/>
  <c r="M17" i="6" s="1"/>
  <c r="M24" i="6" s="1"/>
  <c r="M39" i="5"/>
  <c r="M42" i="5"/>
  <c r="L83" i="5"/>
  <c r="L19" i="6" s="1"/>
  <c r="L43" i="5"/>
  <c r="K87" i="5"/>
  <c r="K47" i="5"/>
  <c r="K91" i="5" s="1"/>
  <c r="J5" i="6"/>
  <c r="J23" i="6"/>
  <c r="J26" i="6" s="1"/>
  <c r="K35" i="7"/>
  <c r="J36" i="7"/>
  <c r="K37" i="7"/>
  <c r="J38" i="7"/>
  <c r="K39" i="7"/>
  <c r="J40" i="7"/>
  <c r="K31" i="7"/>
  <c r="J32" i="7"/>
  <c r="K33" i="7"/>
  <c r="J34" i="7"/>
  <c r="E51" i="6"/>
  <c r="D53" i="6" l="1"/>
  <c r="D60" i="6"/>
  <c r="D56" i="6"/>
  <c r="B57" i="6"/>
  <c r="B58" i="6"/>
  <c r="B23" i="10"/>
  <c r="M83" i="5"/>
  <c r="M19" i="6" s="1"/>
  <c r="M43" i="5"/>
  <c r="M86" i="5"/>
  <c r="M22" i="6" s="1"/>
  <c r="M25" i="6" s="1"/>
  <c r="C53" i="6"/>
  <c r="L87" i="5"/>
  <c r="L47" i="5"/>
  <c r="L91" i="5" s="1"/>
  <c r="K23" i="6"/>
  <c r="K26" i="6" s="1"/>
  <c r="K5" i="6"/>
  <c r="K7" i="6" s="1"/>
  <c r="J7" i="6"/>
  <c r="L35" i="7"/>
  <c r="L36" i="7" s="1"/>
  <c r="K36" i="7"/>
  <c r="L37" i="7"/>
  <c r="L38" i="7" s="1"/>
  <c r="K38" i="7"/>
  <c r="L39" i="7"/>
  <c r="L40" i="7" s="1"/>
  <c r="K40" i="7"/>
  <c r="L31" i="7"/>
  <c r="L32" i="7" s="1"/>
  <c r="K32" i="7"/>
  <c r="L33" i="7"/>
  <c r="L34" i="7" s="1"/>
  <c r="K34" i="7"/>
  <c r="D57" i="6" l="1"/>
  <c r="D58" i="6"/>
  <c r="M87" i="5"/>
  <c r="M23" i="6" s="1"/>
  <c r="M47" i="5"/>
  <c r="B30" i="6"/>
  <c r="L5" i="6"/>
  <c r="L23" i="6"/>
  <c r="D18" i="7"/>
  <c r="D15" i="7"/>
  <c r="D17" i="7"/>
  <c r="D14" i="7"/>
  <c r="D16" i="7"/>
  <c r="E15" i="7"/>
  <c r="E17" i="7"/>
  <c r="E16" i="7"/>
  <c r="E14" i="7"/>
  <c r="E18" i="7"/>
  <c r="F17" i="7"/>
  <c r="F18" i="7"/>
  <c r="F16" i="7"/>
  <c r="F14" i="7"/>
  <c r="F15" i="7"/>
  <c r="B15" i="7"/>
  <c r="B16" i="7"/>
  <c r="B18" i="7"/>
  <c r="B14" i="7"/>
  <c r="B17" i="7"/>
  <c r="C14" i="7"/>
  <c r="C15" i="7"/>
  <c r="C16" i="7"/>
  <c r="C17" i="7"/>
  <c r="C18" i="7"/>
  <c r="E53" i="6"/>
  <c r="C60" i="6"/>
  <c r="C56" i="6"/>
  <c r="L26" i="6" l="1"/>
  <c r="B38" i="6"/>
  <c r="B5" i="7"/>
  <c r="D6" i="7"/>
  <c r="E5" i="7"/>
  <c r="E7" i="7"/>
  <c r="B7" i="7"/>
  <c r="B4" i="7"/>
  <c r="F6" i="7"/>
  <c r="D4" i="7"/>
  <c r="E6" i="7"/>
  <c r="C4" i="7"/>
  <c r="C6" i="7"/>
  <c r="C7" i="7"/>
  <c r="B8" i="7"/>
  <c r="F8" i="7"/>
  <c r="F4" i="7"/>
  <c r="F7" i="7"/>
  <c r="C5" i="7"/>
  <c r="C8" i="7"/>
  <c r="E4" i="7"/>
  <c r="D7" i="7"/>
  <c r="E8" i="7"/>
  <c r="B6" i="7"/>
  <c r="F5" i="7"/>
  <c r="D5" i="7"/>
  <c r="D8" i="7"/>
  <c r="M26" i="6"/>
  <c r="B29" i="6" s="1"/>
  <c r="B42" i="6"/>
  <c r="C59" i="6"/>
  <c r="E59" i="6" s="1"/>
  <c r="M91" i="5"/>
  <c r="M5" i="6" s="1"/>
  <c r="L7" i="6"/>
  <c r="E60" i="6"/>
  <c r="B24" i="10"/>
  <c r="B25" i="10" s="1"/>
  <c r="C58" i="6"/>
  <c r="E58" i="6" s="1"/>
  <c r="C57" i="6"/>
  <c r="E57" i="6" s="1"/>
  <c r="E56" i="6"/>
  <c r="B10" i="6" l="1"/>
  <c r="B23" i="11"/>
  <c r="B11" i="6"/>
  <c r="B31" i="6"/>
  <c r="B46" i="6"/>
  <c r="B9" i="6"/>
  <c r="B37" i="6" s="1"/>
  <c r="M7" i="6"/>
  <c r="B36" i="6" l="1"/>
  <c r="B25" i="11" s="1"/>
  <c r="B32" i="6"/>
  <c r="B34" i="6" l="1"/>
  <c r="B24" i="11" s="1"/>
  <c r="B39" i="11" s="1"/>
  <c r="B35" i="6"/>
</calcChain>
</file>

<file path=xl/sharedStrings.xml><?xml version="1.0" encoding="utf-8"?>
<sst xmlns="http://schemas.openxmlformats.org/spreadsheetml/2006/main" count="726" uniqueCount="547">
  <si>
    <t>Uitgebreide analyse: historie, parameters, drie scenario's en het model</t>
  </si>
  <si>
    <t>Doel</t>
  </si>
  <si>
    <t>Dit bestand is mijn uitgebreide analyse van één bedrijf, ongeveer twintig uur werk. Het rekent drie scenario's door met het winstmodel uit hoofdstuk 6: omzet uit bedrijfsparameters of groei, nettowinstmarge, kasstroomconversie, aantal aandelen, een exit P/E op de winst van jaar 11 en een discount rate. De uitkomst is een verwacht rendement per jaar en een koopzone, geen koersdoel.</t>
  </si>
  <si>
    <t>Zo gebruik je dit bestand</t>
  </si>
  <si>
    <t>Kopieer dit bestand naar de werkmap van het bedrijf en geef het de bedrijfsnaam. Vul Invoer in: identificatie, boekhoudstandaard, eenheid, de gekoppelde koersdata, het vertrekpunt van jaar 0 en de bronnenlijst.</t>
  </si>
  <si>
    <t>Vul EV en kapitaalstructuur in vanuit de balans: welke cash meetelt, welke schuld, en de leaseverplichtingen apart. Het tabblad rekent de ondernemingswaarde met en zonder leases uit.</t>
  </si>
  <si>
    <t>Vul Parameters in voor drie scenario's: tegenvallend, midden en gunstig. Per jaar 1 tot en met 11 de omzetgroei of de drie bedrijfsparameters, de nettowinstmarge, de kasstroomconversie en de verandering van het aantal aandelen. Per scenario de exit P/E, de discount rate en het kansgewicht. Jaar 0 komt van Invoer. De hulpparameters onderaan elk scenario onderbouwen de conversie en zitten niet in de formules.</t>
  </si>
  <si>
    <t>Gevoeligheid toont de waarde per aandeel bij een andere exit P/E, discount rate en omzetgroei, en bevat het omgekeerd rekenen met Doelzoeken. Rode vlaggen, Analisten en Technisch en instap zijn de tabbladen voor de fasen 6 tot en met 8. Controles moet overal In orde tonen voordat ik de koopzone in het universumbestand zet.</t>
  </si>
  <si>
    <t>De tabbladen</t>
  </si>
  <si>
    <t>Invoer: fase 1 en 4: identificatie, koersdata, vertrekpunt jaar 0, modelkeuzes en de bronnenlijst</t>
  </si>
  <si>
    <t>EV en kapitaalstructuur: fase 4: cash, schuld, leases, ondernemingswaarde met en zonder leases, schuldratio's en looptijden</t>
  </si>
  <si>
    <t>Historie: fase 4: tien jaar en acht kwartalen met afgeleide marges, conversie en groei</t>
  </si>
  <si>
    <t>Parameters: fase 2 en 4: de drie scenario's per jaar, en onderaan het actieve scenario dat het model gebruikt</t>
  </si>
  <si>
    <t>Model: fase 5: de berekening in de indeling van hoofdstuk 6.7, de uitkomst per aandeel, de Gordon-controle en de scenario's naast elkaar</t>
  </si>
  <si>
    <t>Gevoeligheid: fase 5: waarde per aandeel bij andere multiples, discount rates en groei, en het omgekeerd rekenen</t>
  </si>
  <si>
    <t>Rode vlaggen: fase 6: de controlelijst boekhouding, bestuur, balans, bedrijfsvoering en waardering</t>
  </si>
  <si>
    <t>Analisten: fase 3 en 7: consensus tegenover mijn middenscenario, wie het aandeel volgt, wat ze vragen, de taal van het bestuur en beloofd tegenover gerealiseerd</t>
  </si>
  <si>
    <t>Technisch en instap: fase 8: weekgrafiek, zones, de koopzone uit de scenario's, de voorwaarden voor mijn besluit en het instapplan</t>
  </si>
  <si>
    <t>Controles: alle fasen: invoer, scenario's, model en de vaste rekencontroles uit hoofdstuk 6</t>
  </si>
  <si>
    <t>Kleuren</t>
  </si>
  <si>
    <t>Lichtblauw: een invoercel. Hier vul jij iets in.</t>
  </si>
  <si>
    <t>Geen kleur: een formule. Deze cellen rekenen zichzelf uit; pas ze niet aan.</t>
  </si>
  <si>
    <t>Lichtgeel: een controlecel. Hier staat In orde, of een melding die om aandacht vraagt.</t>
  </si>
  <si>
    <t>Grijs: een kopregel.</t>
  </si>
  <si>
    <t>Koers, marktkapitalisatie en P/E koppelen aan het gegevenstype Aandelen</t>
  </si>
  <si>
    <t>1. Selecteer de cel met de ticker en kies in het lint Gegevens, groep Gegevenstypen, de optie Aandelen. Excel zet de ticker om in een gekoppeld aandeel; controleer dat de juiste beurs is gekozen.</t>
  </si>
  <si>
    <t>2. Klik op het kleine tabelpictogram naast de gekoppelde cel en voeg de velden Prijs, Marktkapitalisatie en Koers-winstverhouding in. Excel zet ze in de kolommen rechts van de ticker.</t>
  </si>
  <si>
    <t>3. Verwijs vanuit de lichtblauwe cellen Koers, Marktkapitalisatie en P/E naar die ingevoegde velden, of plak de waarden erin met de datum erbij. Alle formules in dit bestand gebruiken die drie cellen, dus zodra ze gekoppeld zijn blijft alles actueel. Vernieuwen doe je met Gegevens, Alles vernieuwen.</t>
  </si>
  <si>
    <t>Werkt het gegevenstype niet, bijvoorbeeld bij een kleine notering, vul de drie cellen dan met de hand en zet de peildatum ernaast.</t>
  </si>
  <si>
    <t>Eenheden en valuta</t>
  </si>
  <si>
    <t>Alle bedragen staan in de rapportagevaluta van het bedrijf en in de eenheid van Invoer; het aantal aandelen in dezelfde eenheid. Dan is winst per aandeel vanzelf in de rapportagevaluta.</t>
  </si>
  <si>
    <t>De koers staat in de valuta van de notering. De wisselkoers op Invoer rekent de waarde per aandeel om naar die valuta; bij een gelijke valuta blijft hij 1.</t>
  </si>
  <si>
    <t>Status: werkversie, nog niet getoetst in een echte doorloop. Bijgewerkt op 12 september 2026. Auteur: Kees van Wanrooij, Belegger Kees.</t>
  </si>
  <si>
    <t>Dit is educatie en geen persoonlijk beleggingsadvies. Je beslist zelf; beleggen brengt risico mee.</t>
  </si>
  <si>
    <t>Waar de uitleg staat</t>
  </si>
  <si>
    <t>De werkwijze staat in 03-Analyseproces/03-Uitgebreid-Analyseren.md en 03-Analyseproces/04-Waarderen.md.</t>
  </si>
  <si>
    <t>De gedachte erachter staat in 02-Manifesto/05-Uitgebreide-Analyse.md en 02-Manifesto/06-DCF-Model.md; de koopzone in 02-Manifesto/08-Timing.md.</t>
  </si>
  <si>
    <t>De prompts staan in 05-Resources/AI-Prompts/prompts-library.md: 2, 3, 4, 6, 8, 9, 10 en 12.</t>
  </si>
  <si>
    <t>Identificatie</t>
  </si>
  <si>
    <t>Bedrijfsnaam</t>
  </si>
  <si>
    <t>Ticker</t>
  </si>
  <si>
    <t>ISIN</t>
  </si>
  <si>
    <t>Beurs</t>
  </si>
  <si>
    <t>Boekhoudstandaard</t>
  </si>
  <si>
    <t>IFRS of US GAAP bepaalt hoe ik leases, ontwikkelkosten en de vrije kasstroom lees; zie hoofdstuk 6.4.</t>
  </si>
  <si>
    <t>Rapportagevaluta</t>
  </si>
  <si>
    <t>Valuta van de notering</t>
  </si>
  <si>
    <t>Wisselkoers: één eenheid rapportagevaluta in de valuta van de notering</t>
  </si>
  <si>
    <t>1 als beide valuta gelijk zijn. De waarde per aandeel uit het model wordt hiermee omgerekend naar de valuta van de koers.</t>
  </si>
  <si>
    <t>Eenheid van de bedragen en van het aantal aandelen</t>
  </si>
  <si>
    <t>Duizenden of miljoenen, zoals in het jaarverslag. Aandelen in dezelfde eenheid, dan klopt winst per aandeel vanzelf.</t>
  </si>
  <si>
    <t>Analysedatum</t>
  </si>
  <si>
    <t>Verslagperiode van de cijfers voor jaar 0</t>
  </si>
  <si>
    <t>Laatste boekjaar of laatste twaalf maanden; schrijf op welke van de twee.</t>
  </si>
  <si>
    <t>Koersdata, gekoppeld aan het gegevenstype Aandelen</t>
  </si>
  <si>
    <t>Koers (koppel aan Aandelen)</t>
  </si>
  <si>
    <t>Peildatum koers</t>
  </si>
  <si>
    <t>Marktkapitalisatie (koppel aan Aandelen)</t>
  </si>
  <si>
    <t>In de eenheid hierboven en in de valuta van de notering.</t>
  </si>
  <si>
    <t>Koers-winstverhouding (koppel aan Aandelen)</t>
  </si>
  <si>
    <t>Aandelen verwaterd, gewogen gemiddeld over de periode van jaar 0</t>
  </si>
  <si>
    <t>Uit de winst per aandeel in de jaarrekening, in de eenheid hierboven.</t>
  </si>
  <si>
    <t>Marktkapitalisatie berekend: koers maal aandelen</t>
  </si>
  <si>
    <t>Verschil gekoppeld tegenover berekend</t>
  </si>
  <si>
    <t>Meer dan 5 procent verschil betekent meestal een andere eenheid, een andere aandelenreeks of een andere valuta.</t>
  </si>
  <si>
    <t>Vertrekpunt: jaar 0, in de rapportagevaluta en de gekozen eenheid</t>
  </si>
  <si>
    <t>Omzet jaar 0</t>
  </si>
  <si>
    <t>Uit het tabblad Historie, laatste kolom, of de laatste twaalf maanden.</t>
  </si>
  <si>
    <t>Nettowinst voor gewone aandeelhouders jaar 0</t>
  </si>
  <si>
    <t>Vrije kasstroom na leasebetalingen jaar 0</t>
  </si>
  <si>
    <t>Zoals het bedrijf die zelf berekent, gecontroleerd op Historie.</t>
  </si>
  <si>
    <t>Nettowinstmarge jaar 0</t>
  </si>
  <si>
    <t>Kasstroomconversie jaar 0: vrije kasstroom gedeeld door nettowinst</t>
  </si>
  <si>
    <t>Winst per aandeel jaar 0, in de rapportagevaluta</t>
  </si>
  <si>
    <t>Koers-winstverhouding op jaar 0</t>
  </si>
  <si>
    <t>Koers gedeeld door winst per aandeel, omgerekend naar de valuta van de notering.</t>
  </si>
  <si>
    <t>Modelkeuzes</t>
  </si>
  <si>
    <t>Actief scenario op het tabblad Model</t>
  </si>
  <si>
    <t>Midden</t>
  </si>
  <si>
    <t>Tegenvallend, Midden of Gunstig. Alle drie staan op Parameters; het tabblad Model rekent het gekozen scenario door.</t>
  </si>
  <si>
    <t>Nummer van het actieve scenario</t>
  </si>
  <si>
    <t>Per aandeel</t>
  </si>
  <si>
    <t>Mijn rendementseis per jaar, voor de koopzone</t>
  </si>
  <si>
    <t>De koopzone op Technisch en instap is de koers waarbij het tegenvallende en het middenscenario deze eis halen.</t>
  </si>
  <si>
    <t>Bronnenlijst: wat ik heb gelezen</t>
  </si>
  <si>
    <t>Document</t>
  </si>
  <si>
    <t>Publicatiedatum</t>
  </si>
  <si>
    <t>Verslagperiode</t>
  </si>
  <si>
    <t>Vindplaats (link of map)</t>
  </si>
  <si>
    <t>Gebruikt voor</t>
  </si>
  <si>
    <t>Gelezen op</t>
  </si>
  <si>
    <t>Een samenvatting van een document telt niet als het document zelf. Schrijf op wat je werkelijk hebt gelezen.</t>
  </si>
  <si>
    <t>Stap 1. Cash: wat telt mee?</t>
  </si>
  <si>
    <t>Post</t>
  </si>
  <si>
    <t>Bedrag</t>
  </si>
  <si>
    <t>Telt mee als cash</t>
  </si>
  <si>
    <t>Toelichting</t>
  </si>
  <si>
    <t>Cash en kasequivalenten</t>
  </si>
  <si>
    <t>Ja</t>
  </si>
  <si>
    <t>IAS 7 of ASC 230: looptijd korter dan drie maanden.</t>
  </si>
  <si>
    <t>Kortlopende beleggingen en termijndeposito's</t>
  </si>
  <si>
    <t>Alleen als ze vrij beschikbaar zijn; beoordeel de noot.</t>
  </si>
  <si>
    <t>Restricted cash</t>
  </si>
  <si>
    <t>Nee</t>
  </si>
  <si>
    <t>Onderpand, escrow of wettelijk verplicht aangehouden: niet vrij beschikbaar, telt nooit mee.</t>
  </si>
  <si>
    <t>Belastingvordering</t>
  </si>
  <si>
    <t>Een toekomstige teruggave is geen cash.</t>
  </si>
  <si>
    <t>Cash die ik aftrek in de ondernemingswaarde</t>
  </si>
  <si>
    <t>Stap 2. Schuld en schuldachtige posten</t>
  </si>
  <si>
    <t>In EV zonder leases</t>
  </si>
  <si>
    <t>In EV met leases</t>
  </si>
  <si>
    <t>Kortlopende bankschuld en commercial paper</t>
  </si>
  <si>
    <t>Herfinanciering binnen een jaar: controleer de convenanten.</t>
  </si>
  <si>
    <t>Langlopende financiële schuld: obligaties, leningen, notes</t>
  </si>
  <si>
    <t>Converteerbare obligaties</t>
  </si>
  <si>
    <t>Schuld tot ze zijn omgezet; de verwatering staat apart in de aandelenreeks.</t>
  </si>
  <si>
    <t>Preferente aandelen</t>
  </si>
  <si>
    <t>Gaan voor op de gewone aandeelhouder, dus een schuldachtige post.</t>
  </si>
  <si>
    <t>Minderheidsbelangen</t>
  </si>
  <si>
    <t>Het deel van de ondernemingswaarde dat niet van de gewone aandeelhouder is.</t>
  </si>
  <si>
    <t>Financiële leaseverplichtingen</t>
  </si>
  <si>
    <t>Onder IFRS en US GAAP allebei schuld.</t>
  </si>
  <si>
    <t>Operationele leaseverplichtingen (IFRS 16 of ASC 842)</t>
  </si>
  <si>
    <t>Apart van de schuld. Bij een lease-intensief bedrijf vergelijk ik met leases, en bij de sectorgenoot op dezelfde basis.</t>
  </si>
  <si>
    <t>Handelscrediteuren</t>
  </si>
  <si>
    <t>Operationele schuld, geen financiële schuld.</t>
  </si>
  <si>
    <t>Uitgestelde belastingverplichtingen</t>
  </si>
  <si>
    <t>Geen kasuitstroom op een vast moment.</t>
  </si>
  <si>
    <t>Pensioentekort, als het materieel is</t>
  </si>
  <si>
    <t>Beoordeel</t>
  </si>
  <si>
    <t>Verborgen schuld; staat in de noten. Tel mee als het tekort jaarlijks cash vraagt.</t>
  </si>
  <si>
    <t>Telt het pensioentekort mee? (Ja of Nee)</t>
  </si>
  <si>
    <t>Financiële schuld zonder leases</t>
  </si>
  <si>
    <t>Schuld met alle leaseverplichtingen</t>
  </si>
  <si>
    <t>Stap 3. Ondernemingswaarde, twee varianten</t>
  </si>
  <si>
    <t>Zonder operationele leases</t>
  </si>
  <si>
    <t>Met operationele leases</t>
  </si>
  <si>
    <t>Wanneer welke</t>
  </si>
  <si>
    <t>Marktkapitalisatie (berekend, anders gekoppeld), in de rapportagevaluta</t>
  </si>
  <si>
    <t>Omgerekend met de wisselkoers op Invoer.</t>
  </si>
  <si>
    <t>Plus financiële schuld</t>
  </si>
  <si>
    <t>Altijd.</t>
  </si>
  <si>
    <t>Plus financiële leaseverplichtingen</t>
  </si>
  <si>
    <t>Plus operationele leaseverplichtingen</t>
  </si>
  <si>
    <t>Alleen in de variant met leases.</t>
  </si>
  <si>
    <t>Plus preferente aandelen en minderheidsbelangen</t>
  </si>
  <si>
    <t>Als ze er zijn.</t>
  </si>
  <si>
    <t>Plus pensioentekort</t>
  </si>
  <si>
    <t>Alleen als je hierboven Ja hebt gekozen.</t>
  </si>
  <si>
    <t>Min cash</t>
  </si>
  <si>
    <t>De cash uit stap 1.</t>
  </si>
  <si>
    <t>Ondernemingswaarde</t>
  </si>
  <si>
    <t>Zonder leases voor een bedrijf met weinig vaste activa; met leases voor winkels, sportscholen, luchtvaart en horeca. Bij de vergelijking met een sectorgenoot allebei op dezelfde basis.</t>
  </si>
  <si>
    <t>Stap 4. Schuldratio's op de laatste twaalf maanden</t>
  </si>
  <si>
    <t>EBITDA laatste twaalf maanden</t>
  </si>
  <si>
    <t>Onder IFRS 16 is EBITDA hoger omdat de huur uit de kosten is verdwenen; vergelijk dan met leases.</t>
  </si>
  <si>
    <t>EBIT laatste twaalf maanden</t>
  </si>
  <si>
    <t>Rentelasten laatste twaalf maanden, zonder leaserente</t>
  </si>
  <si>
    <t>Nettoschuld zonder leases</t>
  </si>
  <si>
    <t>Nettoschuld met leases</t>
  </si>
  <si>
    <t>Nettoschuld zonder leases gedeeld door EBITDA</t>
  </si>
  <si>
    <t>Boven 3 vraagt aandacht; bij een stijgende rente snel gevaarlijk.</t>
  </si>
  <si>
    <t>Nettoschuld met leases gedeeld door EBITDA</t>
  </si>
  <si>
    <t>De maat voor een lease-intensief bedrijf; boven 4 vraagt aandacht.</t>
  </si>
  <si>
    <t>Nettoschuld zonder leases gedeeld door EBIT</t>
  </si>
  <si>
    <t>Strenger dan EBITDA, want de afschrijvingen zijn al verwerkt.</t>
  </si>
  <si>
    <t>Rentedekking: EBIT gedeeld door rentelasten</t>
  </si>
  <si>
    <t>Onder 3 wordt de rente een last die de keuzes van het bestuur beperkt.</t>
  </si>
  <si>
    <t>EV zonder leases gedeeld door EBITDA</t>
  </si>
  <si>
    <t>Vergelijk alleen met een sectorgenoot op dezelfde boekhoudbasis.</t>
  </si>
  <si>
    <t>EV met leases gedeeld door EBITDA</t>
  </si>
  <si>
    <t>Stap 5. Looptijden: wanneer moet er geherfinancierd worden?</t>
  </si>
  <si>
    <t>Instrument</t>
  </si>
  <si>
    <t>Rente</t>
  </si>
  <si>
    <t>Vervaldatum</t>
  </si>
  <si>
    <t>Convenant en ruimte tot de drempel</t>
  </si>
  <si>
    <t>Vervalt meer dan een derde van de schuld binnen twee jaar, dan is herfinanciering een eigen risico in de rode vlaggen.</t>
  </si>
  <si>
    <t>Post, in de rapportagevaluta en de eenheid van Invoer</t>
  </si>
  <si>
    <t>Jaar 1</t>
  </si>
  <si>
    <t>Jaar 2</t>
  </si>
  <si>
    <t>Jaar 3</t>
  </si>
  <si>
    <t>Jaar 4</t>
  </si>
  <si>
    <t>Jaar 5</t>
  </si>
  <si>
    <t>Jaar 6</t>
  </si>
  <si>
    <t>Jaar 7</t>
  </si>
  <si>
    <t>Jaar 8</t>
  </si>
  <si>
    <t>Jaar 9</t>
  </si>
  <si>
    <t>Jaar 10</t>
  </si>
  <si>
    <t>Bron en toelichting</t>
  </si>
  <si>
    <t>Boekjaar (eindigt op)</t>
  </si>
  <si>
    <t>Omzet</t>
  </si>
  <si>
    <t>Omzetgroei</t>
  </si>
  <si>
    <t>Brutowinst</t>
  </si>
  <si>
    <t>Brutomarge</t>
  </si>
  <si>
    <t>EBITDA</t>
  </si>
  <si>
    <t>EBIT (bedrijfsresultaat)</t>
  </si>
  <si>
    <t>EBIT-marge</t>
  </si>
  <si>
    <t>Nettowinst voor gewone aandeelhouders</t>
  </si>
  <si>
    <t>Nettowinstmarge</t>
  </si>
  <si>
    <t>Afschrijvingen en amortisatie</t>
  </si>
  <si>
    <t>Afschrijvingen als percentage van de omzet</t>
  </si>
  <si>
    <t>Investeringen in vaste activa en geactiveerde ontwikkelkosten</t>
  </si>
  <si>
    <t>Investeringen als percentage van de omzet</t>
  </si>
  <si>
    <t>Verandering werkkapitaal (positief is geld erbij)</t>
  </si>
  <si>
    <t>Operationele kasstroom</t>
  </si>
  <si>
    <t>Leasebetalingen (aflossing en rente op leases)</t>
  </si>
  <si>
    <t>Vrije kasstroom zoals het bedrijf die rapporteert</t>
  </si>
  <si>
    <t>Vrije kasstroom berekend: operationele kasstroom min investeringen min leasebetalingen</t>
  </si>
  <si>
    <t>Kasstroomconversie: gerapporteerde vrije kasstroom gedeeld door nettowinst</t>
  </si>
  <si>
    <t>Aandelenbeloning</t>
  </si>
  <si>
    <t>Aandelenbeloning als percentage van de omzet</t>
  </si>
  <si>
    <t>Aandelen verwaterd, gewogen gemiddeld</t>
  </si>
  <si>
    <t>Verandering aantal aandelen</t>
  </si>
  <si>
    <t>Winst per aandeel, verwaterd</t>
  </si>
  <si>
    <t>Dividend per aandeel</t>
  </si>
  <si>
    <t>Leaseverplichtingen</t>
  </si>
  <si>
    <t>Eigen vermogen</t>
  </si>
  <si>
    <t>Rendement op eigen vermogen</t>
  </si>
  <si>
    <t>Koers aan het einde van het boekjaar, in de rapportagevaluta</t>
  </si>
  <si>
    <t>Koers-winstverhouding aan het einde van het boekjaar</t>
  </si>
  <si>
    <t>Laatste acht kwartalen of halfjaren</t>
  </si>
  <si>
    <t>Periode 1</t>
  </si>
  <si>
    <t>Periode 2</t>
  </si>
  <si>
    <t>Periode 3</t>
  </si>
  <si>
    <t>Periode 4</t>
  </si>
  <si>
    <t>Periode 5</t>
  </si>
  <si>
    <t>Periode 6</t>
  </si>
  <si>
    <t>Periode 7</t>
  </si>
  <si>
    <t>Periode 8</t>
  </si>
  <si>
    <t>Periode (bijvoorbeeld K3 2025)</t>
  </si>
  <si>
    <t>Omzetgroei tegenover dezelfde periode een jaar eerder</t>
  </si>
  <si>
    <t>Nettowinst</t>
  </si>
  <si>
    <t>Vrije kasstroom</t>
  </si>
  <si>
    <t>Aandelen verwaterd</t>
  </si>
  <si>
    <t>Wat het bestuur over de periode zei</t>
  </si>
  <si>
    <t>De groei tegenover dezelfde periode een jaar eerder kan pas vanaf periode 5 worden berekend; bij halfjaren is dat periode 3. Pas de formule dan aan.</t>
  </si>
  <si>
    <t>Parameter</t>
  </si>
  <si>
    <t>Jaar 11</t>
  </si>
  <si>
    <t>Onderbouwing en bron</t>
  </si>
  <si>
    <t>Scenario: Tegenvallend</t>
  </si>
  <si>
    <t>Wat er gebeurt als de bear case grotendeels uitkomt, zonder faillissement. Dit scenario zegt mij het meest.</t>
  </si>
  <si>
    <t>Kansgewicht van dit scenario</t>
  </si>
  <si>
    <t>De drie gewichten tellen op tot 100 procent. Een gewogen gemiddelde van losse rendementen is niet het rendement van gewogen kasstromen.</t>
  </si>
  <si>
    <t>Omzetgroei per jaar</t>
  </si>
  <si>
    <t>Als er bedrijfsparameters staan, gaan die voor. Anders omzet vorig jaar maal één plus deze groei.</t>
  </si>
  <si>
    <t>Bedrijfsparameter 1: vul hier de naam in</t>
  </si>
  <si>
    <t>Bijvoorbeeld het aantal clubs, winkels of klanten. Jaar 0 is de werkelijke waarde.</t>
  </si>
  <si>
    <t>Bedrijfsparameter 2: vul hier de naam in</t>
  </si>
  <si>
    <t>Bijvoorbeeld leden per club of omzet per klant.</t>
  </si>
  <si>
    <t>Bedrijfsparameter 3: vul hier de naam in</t>
  </si>
  <si>
    <t>Bijvoorbeeld omzet per lid per jaar. Zijn twee parameters genoeg, zet hier dan 1 in elk jaar.</t>
  </si>
  <si>
    <t>Omzet uit de bedrijfsparameters (product van de drie)</t>
  </si>
  <si>
    <t>Alleen gevuld als alle drie de parameters voor dat jaar zijn ingevuld. Vergelijk jaar 0 met de werkelijke omzet.</t>
  </si>
  <si>
    <t>Omzet gebruikt in het model</t>
  </si>
  <si>
    <t>Jaar 0 komt van Invoer. Daarna: de omzet uit de parameters als die er is, anders vorig jaar maal één plus de groei.</t>
  </si>
  <si>
    <t>Jaar 0 is de werkelijke marge. Bovengrens: de marge van een volwassen sectorgenoot onder dezelfde boekhoudstandaard.</t>
  </si>
  <si>
    <t>Kasstroomconversie: vrije kasstroom gedeeld door nettowinst</t>
  </si>
  <si>
    <t>Jaar 0 is de werkelijke conversie. Loopt c op, dan moeten de hulpparameters onderaan laten zien waarom.</t>
  </si>
  <si>
    <t>Vrije kasstroom voor de aandeelhouder</t>
  </si>
  <si>
    <t>Verandering aantal aandelen (positief is verwatering)</t>
  </si>
  <si>
    <t>Uit de historie van het verwaterde aantal en het inkoop- of uitgiftebeleid.</t>
  </si>
  <si>
    <t>Aantal aandelen</t>
  </si>
  <si>
    <t>Winst per aandeel</t>
  </si>
  <si>
    <t>Vrije kasstroom per aandeel</t>
  </si>
  <si>
    <t>Exit P/E op de winst van jaar 11</t>
  </si>
  <si>
    <t>Vertrekpunt 12 tot 15 voor een uitgegroeid bedrijf, 15 tot 20 voor een bedrijf dat nog groeit. Boven 20 moet ik het kunnen uitleggen.</t>
  </si>
  <si>
    <t>Discount rate</t>
  </si>
  <si>
    <t>Rond 8 procent bij goed te overziene kasstromen, rond 10 bij meer onzekerheid, rond 12 bij hoger risico.</t>
  </si>
  <si>
    <t>Duurzame groei g, alleen voor de Gordon-controle</t>
  </si>
  <si>
    <t>Rond de groei van de economie, 2 tot 3 procent. Moet kleiner zijn dan de discount rate.</t>
  </si>
  <si>
    <t>Kasstroom per aandeel met eindwaarde (jaar 0 is min de koers)</t>
  </si>
  <si>
    <t>De reeks voor het interne rendement van dit scenario bij de huidige koers, in de rapportagevaluta.</t>
  </si>
  <si>
    <t>Hulp: afschrijvingen als percentage van de omzet</t>
  </si>
  <si>
    <t>Niet in de formules. Onderbouwing van de conversie.</t>
  </si>
  <si>
    <t>Hulp: investeringen als percentage van de omzet</t>
  </si>
  <si>
    <t>Niet in de formules. Dalen de investeringen naar het niveau van de afschrijvingen, dan mag c oplopen.</t>
  </si>
  <si>
    <t>Hulp: verandering werkkapitaal als percentage van de omzet</t>
  </si>
  <si>
    <t>Niet in de formules.</t>
  </si>
  <si>
    <t>Scenario: Midden</t>
  </si>
  <si>
    <t>Mijn eigen verwachting: wat ik denk dat er gebeurt als het bedrijf doet wat het historisch liet zien.</t>
  </si>
  <si>
    <t>Scenario: Gunstig</t>
  </si>
  <si>
    <t>Wat er gebeurt als de bull case uitkomt. Niet het maximum, wel een uitkomst die ik kan uitleggen.</t>
  </si>
  <si>
    <t>Actief scenario, gekozen op Invoer (formules, niet aanpassen)</t>
  </si>
  <si>
    <t>Kansgewicht</t>
  </si>
  <si>
    <t>Kasstroomconversie</t>
  </si>
  <si>
    <t>Exit P/E</t>
  </si>
  <si>
    <t>Duurzame groei g</t>
  </si>
  <si>
    <t>Kasstroom per aandeel met eindwaarde</t>
  </si>
  <si>
    <t>Jaar</t>
  </si>
  <si>
    <t>Leeg zolang de parameters niet compleet zijn. Een foutmelding bij een complete reeks betekent wisselende tekens; controleer de reeks en de netto contante waarde.</t>
  </si>
  <si>
    <t>Opbouw per jaar uit het actieve scenario (hoofdstuk 6.5)</t>
  </si>
  <si>
    <t>Omzetgroei gebruikt</t>
  </si>
  <si>
    <t>Vrije kasstroom voor de aandeelhouder (FCFE)</t>
  </si>
  <si>
    <t>Eindwaarde eind jaar 11: exit P/E maal nettowinst jaar 11</t>
  </si>
  <si>
    <t>Eindwaarde per aandeel: exit P/E maal winst per aandeel jaar 11</t>
  </si>
  <si>
    <t>Contante waarde per aandeel per jaar, zonder eindwaarde</t>
  </si>
  <si>
    <t>Uitkomst, per aandeel</t>
  </si>
  <si>
    <t>Som van de contante expliciete kasstromen per aandeel, jaar 1 tot en met 11</t>
  </si>
  <si>
    <t>Contante waarde van de eindwaarde per aandeel</t>
  </si>
  <si>
    <t>Modelwaarde per aandeel, in de rapportagevaluta</t>
  </si>
  <si>
    <t>Modelwaarde per aandeel, in de valuta van de notering</t>
  </si>
  <si>
    <t>Een modeluitkomst bij mijn aannames, geen koersdoel.</t>
  </si>
  <si>
    <t>Koers</t>
  </si>
  <si>
    <t>Koersruimte: (waarde min koers) gedeeld door koers</t>
  </si>
  <si>
    <t>Korting op de berekende waarde: (waarde min koers) gedeeld door waarde</t>
  </si>
  <si>
    <t>Aandeel van de eindwaarde in de modelwaarde</t>
  </si>
  <si>
    <t>Geen vaste bovengrens. Hoog betekent: de exit P/E draagt de uitkomst, dus daar moet het onderzoek heen.</t>
  </si>
  <si>
    <t>Verwacht rendement per jaar bij de huidige koers: het interne rendement uit B8</t>
  </si>
  <si>
    <t>Koers waarbij dit scenario mijn rendementseis haalt</t>
  </si>
  <si>
    <t>De contante waarde van dezelfde kasstromen tegen mijn rendementseis van Invoer.</t>
  </si>
  <si>
    <t>Gordon Growth als controle op de exit P/E (hoofdstuk 6.6)</t>
  </si>
  <si>
    <t>Eindwaarde per aandeel volgens Gordon: FCFE per aandeel jaar 11 maal (1 plus g) gedeeld door (r min g)</t>
  </si>
  <si>
    <t>Geïmpliceerde P/E volgens Gordon: c maal (1 plus g) gedeeld door (r min g)</t>
  </si>
  <si>
    <t>Gekozen exit P/E</t>
  </si>
  <si>
    <t>Exit P/E min geïmpliceerde P/E</t>
  </si>
  <si>
    <t>Ver boven nul: schrijf op welke groei na jaar 11 het verschil rechtvaardigt. Kan dat niet, dan is de multiple te hoog.</t>
  </si>
  <si>
    <t>Waarde per aandeel met Gordon als eindwaarde, in de valuta van de notering</t>
  </si>
  <si>
    <t>De ondergrens: zo laag komt de waarde uit als het bedrijf vanaf jaar 12 alleen nog met de economie meegroeit.</t>
  </si>
  <si>
    <t>De drie scenario's naast elkaar</t>
  </si>
  <si>
    <t>Tegenvallend</t>
  </si>
  <si>
    <t>Gunstig</t>
  </si>
  <si>
    <t>Gewogen</t>
  </si>
  <si>
    <t>Omzet jaar 11</t>
  </si>
  <si>
    <t>Nettowinstmarge jaar 11</t>
  </si>
  <si>
    <t>Winst per aandeel jaar 11</t>
  </si>
  <si>
    <t>Waarde per aandeel, valuta van de notering</t>
  </si>
  <si>
    <t>Koersruimte</t>
  </si>
  <si>
    <t>Korting op de berekende waarde</t>
  </si>
  <si>
    <t>Intern rendement bij de huidige koers</t>
  </si>
  <si>
    <t>Het gewogen gemiddelde van de interne rendementen is informatie, geen rendement: het interne rendement van gewogen kasstromen is een ander getal. Het tegenvallende scenario zegt mij het meest.</t>
  </si>
  <si>
    <t>Waarde per aandeel (valuta van de notering) bij een andere exit P/E en discount rate, actief scenario</t>
  </si>
  <si>
    <t>Exit P/E omlaag en omhoog in de rijen, discount rate in de kolommen. Het midden is het actieve scenario.</t>
  </si>
  <si>
    <t>Exit P/E \ discount rate</t>
  </si>
  <si>
    <t>Waarde per aandeel bij een andere exit P/E en een verschuiving van de omzetgroei in elk jaar, actief scenario</t>
  </si>
  <si>
    <t>Marge, conversie en aandelen blijven zoals in het scenario; alleen de omzetgroei van elk jaar verschuift met de procentpunten in de kop.</t>
  </si>
  <si>
    <t>Exit P/E \ groei</t>
  </si>
  <si>
    <t>Omgekeerd rekenen: welke uniforme omzetgroei verklaart de koers?</t>
  </si>
  <si>
    <t>Gegevens, Wat-als-analyse, Doelzoeken: zet de cel Verschil op 0 door de cel Uniforme omzetgroei te wijzigen. Marge, conversie, aandelen, exit P/E en discount rate blijven uit het actieve scenario.</t>
  </si>
  <si>
    <t>Uniforme omzetgroei per jaar (Doelzoeken past deze aan)</t>
  </si>
  <si>
    <t>Waarde per aandeel bij die groei, valuta van de notering</t>
  </si>
  <si>
    <t>Verschil met de koers (Doelzoeken: zet dit op 0)</t>
  </si>
  <si>
    <t>Historische omzetgroei per jaar, laatste vijf jaar (Historie)</t>
  </si>
  <si>
    <t>Ingeprijsde groei min historische groei</t>
  </si>
  <si>
    <t>Negatief: de markt verwacht minder dan het bedrijf liet zien. Positief: meer. Uit één koers volgt geen unieke groei; dit is de groei bij de overige aannames van het actieve scenario.</t>
  </si>
  <si>
    <t>Hulprijen voor de tweede tabel (formules, niet aanpassen)</t>
  </si>
  <si>
    <t>Verschuiving</t>
  </si>
  <si>
    <t>Omzet bij groei -4 punten</t>
  </si>
  <si>
    <t>Vrije kasstroom per aandeel daarbij</t>
  </si>
  <si>
    <t>Omzet bij groei -2 punten</t>
  </si>
  <si>
    <t>Omzet bij groei +0 punten</t>
  </si>
  <si>
    <t>Omzet bij groei +2 punten</t>
  </si>
  <si>
    <t>Omzet bij groei +4 punten</t>
  </si>
  <si>
    <t>Nr</t>
  </si>
  <si>
    <t>Onderwerp</t>
  </si>
  <si>
    <t>Rode vlag</t>
  </si>
  <si>
    <t>Uitkomst</t>
  </si>
  <si>
    <t>Wat ik vond, drie tot vijf zinnen</t>
  </si>
  <si>
    <t>Bron en datum</t>
  </si>
  <si>
    <t>Gevolg voor mijn risico-inschatting</t>
  </si>
  <si>
    <t>Boekhouding</t>
  </si>
  <si>
    <t>Omzetverantwoording: wanneer wordt omzet geboekt, en verschuift dat tijdstip?</t>
  </si>
  <si>
    <t>Eenmalige posten die elk jaar terugkomen.</t>
  </si>
  <si>
    <t>Winst en operationele kasstroom lopen meerdere jaren uiteen.</t>
  </si>
  <si>
    <t>Herziene cijfers of gewijzigde definities van kengetallen.</t>
  </si>
  <si>
    <t>Accountantswissel, een opmerking van de accountant of een late jaarrekening.</t>
  </si>
  <si>
    <t>Geactiveerde kosten groeien sneller dan de omzet.</t>
  </si>
  <si>
    <t>Bestuur</t>
  </si>
  <si>
    <t>Overnames tegen hoge prijzen of inkoop van aandelen op hoge koersen.</t>
  </si>
  <si>
    <t>Beloning gekoppeld aan aangepaste maatstaven die het bestuur zelf definieert.</t>
  </si>
  <si>
    <t>Vertrek van de financieel directeur of de bestuursvoorzitter in de laatste twee jaar.</t>
  </si>
  <si>
    <t>Beloften van drie tot vijf jaar geleden die niet zijn nagekomen.</t>
  </si>
  <si>
    <t>Een patroon van insiderverkopen.</t>
  </si>
  <si>
    <t>Transacties met verbonden partijen.</t>
  </si>
  <si>
    <t>Balans en financiering</t>
  </si>
  <si>
    <t>Meer dan een derde van de schuld vervalt binnen twee jaar.</t>
  </si>
  <si>
    <t>Rentelasten boven een derde van het bedrijfsresultaat.</t>
  </si>
  <si>
    <t>Convenanten dicht bij hun drempel.</t>
  </si>
  <si>
    <t>Cash dekt het kasverbruik minder dan twee jaar.</t>
  </si>
  <si>
    <t>Verwatering door converteerbare obligaties, opties of nieuwe aandelen.</t>
  </si>
  <si>
    <t>Pensioentekort of garanties buiten de balans.</t>
  </si>
  <si>
    <t>Bedrijfsvoering</t>
  </si>
  <si>
    <t>Eén klant of een paar klanten leveren een groot deel van de omzet.</t>
  </si>
  <si>
    <t>Afhankelijkheid van één leverancier of één platform.</t>
  </si>
  <si>
    <t>Capaciteit of een product dat de groei begrenst.</t>
  </si>
  <si>
    <t>Afhankelijkheid van één markt, één regelgever of één subsidie.</t>
  </si>
  <si>
    <t>Voorraden en debiteuren groeien sneller dan de omzet.</t>
  </si>
  <si>
    <t>Groei en waardering</t>
  </si>
  <si>
    <t>De groei vraagt investeringen die de kasstroomconversie jaren drukken.</t>
  </si>
  <si>
    <t>Marges boven sectorgenoten zonder uitleg die ik kan controleren.</t>
  </si>
  <si>
    <t>Aandelenbeloning is een groot deel van de winst of de kasstroom.</t>
  </si>
  <si>
    <t>Mijn exit P/E ligt boven de eigen historische range van het bedrijf.</t>
  </si>
  <si>
    <t>De ingeprijsde groei ligt boven de historische groei zonder nieuwe reden.</t>
  </si>
  <si>
    <t>Ik tel niet tot drie om daarna af te wijzen. Eén ernstig financieringsprobleem weegt zwaarder dan drie kleine onzekerheden. Schrijf bij elke vondst hoe ze mijn risico-inschatting verandert.</t>
  </si>
  <si>
    <t>A. Consensus</t>
  </si>
  <si>
    <t>Aantal analisten dat het aandeel volgt</t>
  </si>
  <si>
    <t>Waarvan koop, houd, verkoop (bijvoorbeeld 6, 3, 1)</t>
  </si>
  <si>
    <t>Gemiddeld koersdoel</t>
  </si>
  <si>
    <t>Context, geen maatstaf. Een koersdoel is de uitkomst van iemands model, net als het mijne.</t>
  </si>
  <si>
    <t>Laagste en hoogste koersdoel</t>
  </si>
  <si>
    <t>Peildatum en bron van de consensus</t>
  </si>
  <si>
    <t>Consensus omzet jaar 1</t>
  </si>
  <si>
    <t>Consensus omzet jaar 2</t>
  </si>
  <si>
    <t>Consensus winst per aandeel jaar 1</t>
  </si>
  <si>
    <t>Consensus winst per aandeel jaar 2</t>
  </si>
  <si>
    <t>Mijn middenscenario: omzet jaar 1</t>
  </si>
  <si>
    <t>Mijn middenscenario: omzet jaar 2</t>
  </si>
  <si>
    <t>Mijn middenscenario: winst per aandeel jaar 1</t>
  </si>
  <si>
    <t>Mijn middenscenario: winst per aandeel jaar 2</t>
  </si>
  <si>
    <t>Mijn omzet jaar 2 tegenover de consensus</t>
  </si>
  <si>
    <t>Positief: ik verwacht meer dan de markt. Dan moet ik kunnen zeggen wat ik zie dat zij niet zien.</t>
  </si>
  <si>
    <t>Mijn winst per aandeel jaar 2 tegenover de consensus</t>
  </si>
  <si>
    <t>B. Wie volgt het aandeel</t>
  </si>
  <si>
    <t>Analist</t>
  </si>
  <si>
    <t>Achtergrond, ervaring en andere bedrijven die deze analist volgt</t>
  </si>
  <si>
    <t>Oordeel</t>
  </si>
  <si>
    <t>Koersdoel</t>
  </si>
  <si>
    <t>Datum</t>
  </si>
  <si>
    <t>Kernargument</t>
  </si>
  <si>
    <t>Bron</t>
  </si>
  <si>
    <t>C. Wat analisten vragen in de calls, en wat niet</t>
  </si>
  <si>
    <t>Call en datum</t>
  </si>
  <si>
    <t>De vraag, als citaat of samenvatting</t>
  </si>
  <si>
    <t>Wat de vraag verraadt over wat de markt volgt, en wat niemand vraagt</t>
  </si>
  <si>
    <t>Antwoord van het bestuur, kort</t>
  </si>
  <si>
    <t>D. Taal van het bestuur over vier opeenvolgende calls</t>
  </si>
  <si>
    <t>Spreker</t>
  </si>
  <si>
    <t>Citaat</t>
  </si>
  <si>
    <t>Vindplaats</t>
  </si>
  <si>
    <t>Wat verschuift: van concreet naar algemeen, een onderwerp dat verdwijnt, een maatstaf die ontbreekt</t>
  </si>
  <si>
    <t>Welke vraag dit bij mij oproept</t>
  </si>
  <si>
    <t>Wat het bestuur beloofde</t>
  </si>
  <si>
    <t>Wat er van kwam</t>
  </si>
  <si>
    <t>Een taalobservatie bewijst geen intentie. Ze is een aanleiding om in de cijfers en andere bronnen te zoeken of het vermoeden klopt.</t>
  </si>
  <si>
    <t>Waarneming op de weekgrafiek</t>
  </si>
  <si>
    <t>Koers (Invoer)</t>
  </si>
  <si>
    <t>Peildatum (Invoer)</t>
  </si>
  <si>
    <t>200-weeks voortschrijdend gemiddelde</t>
  </si>
  <si>
    <t>Koers tegenover het 200-weeks gemiddelde</t>
  </si>
  <si>
    <t>Stoch RSI op de weekgrafiek</t>
  </si>
  <si>
    <t>Noteer de periode en de schaal: 0 tot 1 of 0 tot 100. Een waarde van 0,5 en 50 kunnen hetzelfde betekenen.</t>
  </si>
  <si>
    <t>Instellingen van de Stoch RSI (periode, schaal)</t>
  </si>
  <si>
    <t>Hoogste koers in 52 weken</t>
  </si>
  <si>
    <t>Laagste koers in 52 weken</t>
  </si>
  <si>
    <t>Positie in de 52-weeks range (0 is het laagste punt, 1 het hoogste)</t>
  </si>
  <si>
    <t>Steunzone, onder en boven</t>
  </si>
  <si>
    <t>Weerstandszone, onder en boven</t>
  </si>
  <si>
    <t>Trendlijnen en wat ik verder zie, als waarneming</t>
  </si>
  <si>
    <t>Gemiddeld dagvolume in stuks</t>
  </si>
  <si>
    <t>Gewenste positie in stuks</t>
  </si>
  <si>
    <t>Dagen om de positie op te bouwen bij een tiende van het dagvolume</t>
  </si>
  <si>
    <t>Meer dan vijf dagen: de liquiditeit is een eigen risico; zie check 1.</t>
  </si>
  <si>
    <t>Interpretatie, gescheiden van de waarneming</t>
  </si>
  <si>
    <t>Wat de koerscontext mij zegt over het moment, in drie tot vijf zinnen</t>
  </si>
  <si>
    <t>Wat ik daar niet uit kan afleiden</t>
  </si>
  <si>
    <t>Koopzone uit de scenario's (Model)</t>
  </si>
  <si>
    <t>Onderkant: koers waarbij het tegenvallende scenario mijn rendementseis haalt</t>
  </si>
  <si>
    <t>Hier ben ik ook bij tegenvallen tevreden.</t>
  </si>
  <si>
    <t>Bovenkant: koers waarbij het middenscenario mijn rendementseis haalt</t>
  </si>
  <si>
    <t>Koers nu tegenover de zone</t>
  </si>
  <si>
    <t>Onder de zone is geen automatisch koopsignaal: dan wil ik eerst weten wat de markt ziet.</t>
  </si>
  <si>
    <t>Mijn koopzone na eigen afweging, onder en boven</t>
  </si>
  <si>
    <t>De zone uit het model, eventueel bijgesteld om technische niveaus. Een rond bedrag is goed, als de onderbouwing er staat.</t>
  </si>
  <si>
    <t>Rekendatum van deze koopzone</t>
  </si>
  <si>
    <t>Voorwaarden voor mijn besluit (fase 8)</t>
  </si>
  <si>
    <t>Bij welke combinatie van prijs, verwacht rendement en risico vind ik dit aandeel aantrekkelijk?</t>
  </si>
  <si>
    <t>Wat zou mijn verwachting veranderen?</t>
  </si>
  <si>
    <t>Het kerncijfer dat ik volg, met de drempel waarbij ik mijn these herzie</t>
  </si>
  <si>
    <t>Andere wezenlijke ontwikkelingen die ik in de gaten houd</t>
  </si>
  <si>
    <t>Instapplan in tranches</t>
  </si>
  <si>
    <t>Tranche en voorwaarde</t>
  </si>
  <si>
    <t>Aantal</t>
  </si>
  <si>
    <t>Gedaan op</t>
  </si>
  <si>
    <t xml:space="preserve">Tranche 1: </t>
  </si>
  <si>
    <t xml:space="preserve">Tranche 2: </t>
  </si>
  <si>
    <t xml:space="preserve">Tranche 3: </t>
  </si>
  <si>
    <t>Verkoopregel, opgeschreven nu ik nog helder ben</t>
  </si>
  <si>
    <t>Past de prijs nu niet: volgend controlemoment voor de watchlist</t>
  </si>
  <si>
    <t>Controle</t>
  </si>
  <si>
    <t>Eenheid gekozen op Invoer</t>
  </si>
  <si>
    <t>Koers ingevuld</t>
  </si>
  <si>
    <t>Aandelen groter dan nul</t>
  </si>
  <si>
    <t>Omzet, nettowinst en vrije kasstroom van jaar 0 ingevuld</t>
  </si>
  <si>
    <t>Marktkapitalisatie gekoppeld en berekend binnen 5 procent</t>
  </si>
  <si>
    <t>Een groot verschil betekent meestal dat de eenheid of de aandelenreeks niet klopt.</t>
  </si>
  <si>
    <t>Omzet jaar 0 gelijk aan de laatste kolom van Historie</t>
  </si>
  <si>
    <t>Een bewust verschil (laatste twaalf maanden) is goed, als het op Invoer staat.</t>
  </si>
  <si>
    <t>Leases niet dubbel: de financiële schuld op EV bevat geen leaseverplichtingen</t>
  </si>
  <si>
    <t>Deze controle kan ik niet berekenen; ik bevestig haar zelf.</t>
  </si>
  <si>
    <t>Ik heb gecontroleerd dat de leaseverplichtingen apart staan (Ja of Nee)</t>
  </si>
  <si>
    <t>Scenario Tegenvallend: elf jaren omzet, marge, conversie en aandelenverandering ingevuld</t>
  </si>
  <si>
    <t>Scenario Tegenvallend: discount rate groter dan de duurzame groei</t>
  </si>
  <si>
    <t>Scenario Tegenvallend: discount rate binnen 8 tot 12 procent</t>
  </si>
  <si>
    <t>Scenario Tegenvallend: exit P/E ingevuld en niet boven 20</t>
  </si>
  <si>
    <t>Scenario Midden: elf jaren omzet, marge, conversie en aandelenverandering ingevuld</t>
  </si>
  <si>
    <t>Scenario Midden: discount rate groter dan de duurzame groei</t>
  </si>
  <si>
    <t>Scenario Midden: discount rate binnen 8 tot 12 procent</t>
  </si>
  <si>
    <t>Scenario Midden: exit P/E ingevuld en niet boven 20</t>
  </si>
  <si>
    <t>Scenario Gunstig: elf jaren omzet, marge, conversie en aandelenverandering ingevuld</t>
  </si>
  <si>
    <t>Scenario Gunstig: discount rate groter dan de duurzame groei</t>
  </si>
  <si>
    <t>Scenario Gunstig: discount rate binnen 8 tot 12 procent</t>
  </si>
  <si>
    <t>Scenario Gunstig: exit P/E ingevuld en niet boven 20</t>
  </si>
  <si>
    <t>Kansgewichten tellen op tot 100 procent</t>
  </si>
  <si>
    <t>Model: geen foutcellen</t>
  </si>
  <si>
    <t>Een fout in het interne rendement bij een complete reeks wijst op wisselende tekens. Niet door nul vervangen.</t>
  </si>
  <si>
    <t>Geen vaste grens; boven driekwart wil ik het wel kunnen uitleggen.</t>
  </si>
  <si>
    <t>Exit P/E tegenover de geïmpliceerde P/E van Gordon</t>
  </si>
  <si>
    <t>Rode vlaggen: alle punten onderzocht</t>
  </si>
  <si>
    <t>Rode vlaggen: aantal ernstig gevonden</t>
  </si>
  <si>
    <t>Een telling, geen oordeel. Eén ernstige vondst kan genoeg zijn.</t>
  </si>
  <si>
    <t>Vaste rekencontroles uit hoofdstuk 6 (wijzig deze rijen niet)</t>
  </si>
  <si>
    <t>Controlereeks: investeer 100, tien jaar niets, 200 aan het einde van jaar 11</t>
  </si>
  <si>
    <t>IR van de controlereeks moet 6,50 procent zijn</t>
  </si>
  <si>
    <t>(200 gedeeld door 100) tot de macht een elfde, min één.</t>
  </si>
  <si>
    <t>Drie keer je geld in tien jaar is 11,61 procent per jaar</t>
  </si>
  <si>
    <t>Vijf keer je geld in tien jaar is 17,46 procent per jaar</t>
  </si>
  <si>
    <t>Gordon: FCFE 6 (nettowinst 10, c 0,6), g 2 procent, r 10 procent geeft eindwaarde 76,5</t>
  </si>
  <si>
    <t>Gordon: de bijbehorende P/E is 7,65</t>
  </si>
  <si>
    <t>Gordon bij c 0,8, g 3 procent, r 10 procent geeft P/E 11,8</t>
  </si>
  <si>
    <t>Aantal controles dat In orde toont</t>
  </si>
  <si>
    <t>De telling van ernstige rode vlaggen telt niet mee; dat is een getal, geen controle.</t>
  </si>
  <si>
    <t>Groei 5Y</t>
  </si>
  <si>
    <t>Groei 10Y</t>
  </si>
  <si>
    <t>Q326</t>
  </si>
  <si>
    <t>2026E</t>
  </si>
  <si>
    <t>Q426E</t>
  </si>
  <si>
    <t>Q226</t>
  </si>
  <si>
    <t>Q126</t>
  </si>
  <si>
    <t>Q425</t>
  </si>
  <si>
    <t>Q35</t>
  </si>
  <si>
    <t>Q225</t>
  </si>
  <si>
    <t>Q125</t>
  </si>
  <si>
    <t>Q424</t>
  </si>
  <si>
    <t>Schatting</t>
  </si>
  <si>
    <t>Jaar 0 is mijn investering, negatief. Jaar 1 tot en met 10 zijn de tussentijdse kasstromen. Jaar 11 is de laatste kasstroom als eindwaarde. Een jaar zonder kasstroom krijgt 0, geen lege cel.</t>
  </si>
  <si>
    <t>Bedrijf</t>
  </si>
  <si>
    <t>Kasstroom in de gekozen schaal (rij 5 uit hoofdstuk 6.7)</t>
  </si>
  <si>
    <t>Contante waarde per jaar van rij 5</t>
  </si>
  <si>
    <t>Discount rate (B8)</t>
  </si>
  <si>
    <t>Intern rendement: IR(B5:M5)</t>
  </si>
  <si>
    <t>Netto contante waarde: NHW(B8;C5:M5)+B5</t>
  </si>
  <si>
    <t>Huidige waarde van de toekomstige ontvangsten: NHW(B8;C5:M5)</t>
  </si>
  <si>
    <t>Model: twaalf perioden in rij 5 (jaar 0 tot en met 11)</t>
  </si>
  <si>
    <t>Vul Historie in vanuit de jaarverslagen, tien jaar en acht kwartalen. De marges, de kasstroomconversie, de groei en de koers-winstverhouding rekenen zichzelf uit; de kolom 2026E is voor de verwachting van het lopende jaar, en de twee kolommen daarna geven de groei of het gemiddelde over vijf en tien jaar waar de parameters op bouwen.</t>
  </si>
  <si>
    <t>Kies op Invoer het actieve scenario en de schaal. Model rekent het actieve scenario door in de indeling van hoofdstuk 6.7: rij 3 de jaarnummers 0 tot en met 11, rij 4 de kalenderjaren, rij 5 de kasstroom, B8 de discount rate, B9 het interne rendement en B10 de netto contante waarde. Daaronder staan de opbouw, de eindwaarde, de Gordon-controle en de drie scenario's naast elkaar.</t>
  </si>
  <si>
    <t>De schaal op Invoer bepaalt rij 5 van Model: per aandeel begint met min de koers, hele bedrijf met min de marktkapitalisatie. De twee lopen niet door elkaar.</t>
  </si>
  <si>
    <t>Schaal van rij 5 op het tabblad Model</t>
  </si>
  <si>
    <t>Per aandeel: rij 5 begint met min de koers. Hele bedrijf: rij 5 begint met min de marktkapitalisatie. De twee schalen lopen niet door elkaar.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</si>
</sst>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0"/>
    <numFmt numFmtId="165" formatCode="yyyy\-mm\-dd"/>
    <numFmt numFmtId="166" formatCode="#,##0.0"/>
    <numFmt numFmtId="167" formatCode="0.0%"/>
    <numFmt numFmtId="168" formatCode="\+0%;\-0%;0%"/>
    <numFmt numFmtId="169" formatCode="0.0"/>
  </numFmts>
  <fonts count="12">
    <font>
      <sz val="11"/>
      <color theme="1"/>
      <name val="Calibri"/>
      <family val="2"/>
      <scheme val="minor"/>
    </font>
    <font>
      <b/>
      <sz val="11"/>
      <color rgb="FF1D1D1F"/>
      <name val="Inter"/>
    </font>
    <font>
      <b/>
      <sz val="10"/>
      <color rgb="FF1D1D1F"/>
      <name val="Inter"/>
    </font>
    <font>
      <sz val="10"/>
      <color rgb="FF1D1D1F"/>
      <name val="Inter"/>
    </font>
    <font>
      <sz val="10"/>
      <color rgb="FF68686D"/>
      <name val="Inter"/>
    </font>
    <font>
      <b/>
      <sz val="11"/>
      <color rgb="FFC4303C"/>
      <name val="Inter"/>
    </font>
    <font>
      <b/>
      <sz val="12"/>
      <color rgb="FFC4303C"/>
      <name val="Inter"/>
    </font>
    <font>
      <b/>
      <sz val="10"/>
      <color rgb="FF68686D"/>
      <name val="Inter"/>
    </font>
    <font>
      <b/>
      <sz val="16"/>
      <color rgb="FFC4303C"/>
      <name val="Inter"/>
    </font>
    <font>
      <b/>
      <u/>
      <sz val="10"/>
      <color rgb="FF1D1D1F"/>
      <name val="Inter"/>
    </font>
    <font>
      <i/>
      <sz val="11"/>
      <color theme="1"/>
      <name val="Calibri"/>
      <family val="2"/>
      <scheme val="minor"/>
    </font>
    <font>
      <sz val="8"/>
      <name val="Calibri"/>
      <family val="2"/>
      <scheme val="minor"/>
    </font>
  </fonts>
  <fills count="5">
    <fill>
      <patternFill patternType="none"/>
    </fill>
    <fill>
      <patternFill patternType="gray125"/>
    </fill>
    <fill>
      <patternFill patternType="solid">
        <fgColor rgb="FFDDEBF7"/>
      </patternFill>
    </fill>
    <fill>
      <patternFill patternType="solid">
        <fgColor rgb="FFFFF2CC"/>
      </patternFill>
    </fill>
    <fill>
      <patternFill patternType="solid">
        <fgColor rgb="FFF5F5F7"/>
      </patternFill>
    </fill>
  </fills>
  <borders count="2">
    <border>
      <left/>
      <right/>
      <top/>
      <bottom/>
      <diagonal/>
    </border>
    <border>
      <left style="thin">
        <color rgb="FFD2D2D7"/>
      </left>
      <right style="thin">
        <color rgb="FFD2D2D7"/>
      </right>
      <top style="thin">
        <color rgb="FFD2D2D7"/>
      </top>
      <bottom style="thin">
        <color rgb="FFD2D2D7"/>
      </bottom>
      <diagonal/>
    </border>
  </borders>
  <cellStyleXfs count="1">
    <xf numFmtId="0" fontId="0" fillId="0" borderId="0"/>
  </cellStyleXfs>
  <cellXfs count="80">
    <xf numFmtId="0" fontId="0" fillId="0" borderId="0" xfId="0"/>
    <xf numFmtId="0" fontId="8" fillId="0" borderId="0" xfId="0" applyFont="1"/>
    <xf numFmtId="0" fontId="1" fillId="0" borderId="0" xfId="0" applyFont="1"/>
    <xf numFmtId="0" fontId="3" fillId="0" borderId="0" xfId="0" applyFont="1" applyAlignment="1">
      <alignment vertical="top" wrapText="1"/>
    </xf>
    <xf numFmtId="0" fontId="3" fillId="2" borderId="0" xfId="0" applyFont="1" applyFill="1" applyAlignment="1">
      <alignment wrapText="1"/>
    </xf>
    <xf numFmtId="0" fontId="3" fillId="0" borderId="0" xfId="0" applyFont="1" applyAlignment="1">
      <alignment wrapText="1"/>
    </xf>
    <xf numFmtId="0" fontId="3" fillId="3" borderId="0" xfId="0" applyFont="1" applyFill="1" applyAlignment="1">
      <alignment wrapText="1"/>
    </xf>
    <xf numFmtId="0" fontId="3" fillId="4" borderId="0" xfId="0" applyFont="1" applyFill="1" applyAlignment="1">
      <alignment wrapText="1"/>
    </xf>
    <xf numFmtId="0" fontId="4" fillId="0" borderId="0" xfId="0" applyFont="1" applyAlignment="1">
      <alignment wrapText="1"/>
    </xf>
    <xf numFmtId="0" fontId="2" fillId="0" borderId="0" xfId="0" applyFont="1" applyAlignment="1">
      <alignment vertical="top" wrapText="1"/>
    </xf>
    <xf numFmtId="0" fontId="3" fillId="2" borderId="1" xfId="0" applyFont="1" applyFill="1" applyBorder="1" applyAlignment="1">
      <alignment vertical="top" wrapText="1"/>
    </xf>
    <xf numFmtId="0" fontId="4" fillId="0" borderId="0" xfId="0" applyFont="1" applyAlignment="1">
      <alignment vertical="top" wrapText="1"/>
    </xf>
    <xf numFmtId="164" fontId="3" fillId="2" borderId="1" xfId="0" applyNumberFormat="1" applyFont="1" applyFill="1" applyBorder="1" applyAlignment="1">
      <alignment vertical="top" wrapText="1"/>
    </xf>
    <xf numFmtId="165" fontId="3" fillId="2" borderId="1" xfId="0" applyNumberFormat="1" applyFont="1" applyFill="1" applyBorder="1" applyAlignment="1">
      <alignment vertical="top" wrapText="1"/>
    </xf>
    <xf numFmtId="4" fontId="3" fillId="2" borderId="1" xfId="0" applyNumberFormat="1" applyFont="1" applyFill="1" applyBorder="1" applyAlignment="1">
      <alignment vertical="top" wrapText="1"/>
    </xf>
    <xf numFmtId="166" fontId="3" fillId="2" borderId="1" xfId="0" applyNumberFormat="1" applyFont="1" applyFill="1" applyBorder="1" applyAlignment="1">
      <alignment vertical="top" wrapText="1"/>
    </xf>
    <xf numFmtId="2" fontId="3" fillId="2" borderId="1" xfId="0" applyNumberFormat="1" applyFont="1" applyFill="1" applyBorder="1" applyAlignment="1">
      <alignment vertical="top" wrapText="1"/>
    </xf>
    <xf numFmtId="166" fontId="3" fillId="0" borderId="1" xfId="0" applyNumberFormat="1" applyFont="1" applyBorder="1" applyAlignment="1">
      <alignment vertical="top" wrapText="1"/>
    </xf>
    <xf numFmtId="167" fontId="3" fillId="3" borderId="1" xfId="0" applyNumberFormat="1" applyFont="1" applyFill="1" applyBorder="1" applyAlignment="1">
      <alignment vertical="top" wrapText="1"/>
    </xf>
    <xf numFmtId="167" fontId="3" fillId="0" borderId="1" xfId="0" applyNumberFormat="1" applyFont="1" applyBorder="1" applyAlignment="1">
      <alignment vertical="top" wrapText="1"/>
    </xf>
    <xf numFmtId="2" fontId="3" fillId="0" borderId="1" xfId="0" applyNumberFormat="1" applyFont="1" applyBorder="1" applyAlignment="1">
      <alignment vertical="top" wrapText="1"/>
    </xf>
    <xf numFmtId="4" fontId="3" fillId="0" borderId="1" xfId="0" applyNumberFormat="1" applyFont="1" applyBorder="1" applyAlignment="1">
      <alignment vertical="top" wrapText="1"/>
    </xf>
    <xf numFmtId="3" fontId="3" fillId="0" borderId="1" xfId="0" applyNumberFormat="1" applyFont="1" applyBorder="1" applyAlignment="1">
      <alignment vertical="top" wrapText="1"/>
    </xf>
    <xf numFmtId="167" fontId="3" fillId="2" borderId="1" xfId="0" applyNumberFormat="1" applyFont="1" applyFill="1" applyBorder="1" applyAlignment="1">
      <alignment vertical="top" wrapText="1"/>
    </xf>
    <xf numFmtId="0" fontId="2" fillId="4" borderId="1" xfId="0" applyFont="1" applyFill="1" applyBorder="1" applyAlignment="1">
      <alignment vertical="center" wrapText="1"/>
    </xf>
    <xf numFmtId="165" fontId="3" fillId="2" borderId="1" xfId="0" applyNumberFormat="1" applyFont="1" applyFill="1" applyBorder="1" applyAlignment="1">
      <alignment vertical="top"/>
    </xf>
    <xf numFmtId="0" fontId="4" fillId="0" borderId="0" xfId="0" applyFont="1"/>
    <xf numFmtId="0" fontId="3" fillId="0" borderId="0" xfId="0" applyFont="1"/>
    <xf numFmtId="166" fontId="3" fillId="2" borderId="1" xfId="0" applyNumberFormat="1" applyFont="1" applyFill="1" applyBorder="1" applyAlignment="1">
      <alignment vertical="top"/>
    </xf>
    <xf numFmtId="0" fontId="4" fillId="0" borderId="1" xfId="0" applyFont="1" applyBorder="1"/>
    <xf numFmtId="0" fontId="2" fillId="0" borderId="0" xfId="0" applyFont="1"/>
    <xf numFmtId="166" fontId="2" fillId="0" borderId="1" xfId="0" applyNumberFormat="1" applyFont="1" applyBorder="1"/>
    <xf numFmtId="0" fontId="3" fillId="2" borderId="1" xfId="0" applyFont="1" applyFill="1" applyBorder="1" applyAlignment="1">
      <alignment vertical="top"/>
    </xf>
    <xf numFmtId="166" fontId="3" fillId="0" borderId="1" xfId="0" applyNumberFormat="1" applyFont="1" applyBorder="1"/>
    <xf numFmtId="167" fontId="3" fillId="2" borderId="1" xfId="0" applyNumberFormat="1" applyFont="1" applyFill="1" applyBorder="1" applyAlignment="1">
      <alignment vertical="top"/>
    </xf>
    <xf numFmtId="167" fontId="3" fillId="0" borderId="1" xfId="0" applyNumberFormat="1" applyFont="1" applyBorder="1" applyAlignment="1">
      <alignment vertical="top"/>
    </xf>
    <xf numFmtId="0" fontId="4" fillId="0" borderId="1" xfId="0" applyFont="1" applyBorder="1" applyAlignment="1">
      <alignment wrapText="1"/>
    </xf>
    <xf numFmtId="166" fontId="3" fillId="0" borderId="1" xfId="0" applyNumberFormat="1" applyFont="1" applyBorder="1" applyAlignment="1">
      <alignment vertical="top"/>
    </xf>
    <xf numFmtId="2" fontId="3" fillId="0" borderId="1" xfId="0" applyNumberFormat="1" applyFont="1" applyBorder="1" applyAlignment="1">
      <alignment vertical="top"/>
    </xf>
    <xf numFmtId="4" fontId="3" fillId="0" borderId="1" xfId="0" applyNumberFormat="1" applyFont="1" applyBorder="1" applyAlignment="1">
      <alignment vertical="top"/>
    </xf>
    <xf numFmtId="4" fontId="3" fillId="2" borderId="1" xfId="0" applyNumberFormat="1" applyFont="1" applyFill="1" applyBorder="1" applyAlignment="1">
      <alignment vertical="top"/>
    </xf>
    <xf numFmtId="2" fontId="3" fillId="2" borderId="1" xfId="0" applyNumberFormat="1" applyFont="1" applyFill="1" applyBorder="1" applyAlignment="1">
      <alignment vertical="top"/>
    </xf>
    <xf numFmtId="0" fontId="6" fillId="0" borderId="0" xfId="0" applyFont="1"/>
    <xf numFmtId="4" fontId="2" fillId="0" borderId="1" xfId="0" applyNumberFormat="1" applyFont="1" applyBorder="1" applyAlignment="1">
      <alignment vertical="top"/>
    </xf>
    <xf numFmtId="167" fontId="2" fillId="0" borderId="1" xfId="0" applyNumberFormat="1" applyFont="1" applyBorder="1" applyAlignment="1">
      <alignment vertical="top"/>
    </xf>
    <xf numFmtId="4" fontId="3" fillId="0" borderId="1" xfId="0" applyNumberFormat="1" applyFont="1" applyBorder="1"/>
    <xf numFmtId="167" fontId="3" fillId="0" borderId="1" xfId="0" applyNumberFormat="1" applyFont="1" applyBorder="1"/>
    <xf numFmtId="2" fontId="3" fillId="0" borderId="1" xfId="0" applyNumberFormat="1" applyFont="1" applyBorder="1"/>
    <xf numFmtId="167" fontId="2" fillId="4" borderId="1" xfId="0" applyNumberFormat="1" applyFont="1" applyFill="1" applyBorder="1"/>
    <xf numFmtId="2" fontId="2" fillId="0" borderId="1" xfId="0" applyNumberFormat="1" applyFont="1" applyBorder="1"/>
    <xf numFmtId="168" fontId="2" fillId="4" borderId="1" xfId="0" applyNumberFormat="1" applyFont="1" applyFill="1" applyBorder="1"/>
    <xf numFmtId="4" fontId="3" fillId="3" borderId="1" xfId="0" applyNumberFormat="1" applyFont="1" applyFill="1" applyBorder="1" applyAlignment="1">
      <alignment vertical="top" wrapText="1"/>
    </xf>
    <xf numFmtId="0" fontId="7" fillId="0" borderId="0" xfId="0" applyFont="1"/>
    <xf numFmtId="0" fontId="3" fillId="0" borderId="1" xfId="0" applyFont="1" applyBorder="1" applyAlignment="1">
      <alignment vertical="top" wrapText="1"/>
    </xf>
    <xf numFmtId="3" fontId="3" fillId="2" borderId="1" xfId="0" applyNumberFormat="1" applyFont="1" applyFill="1" applyBorder="1" applyAlignment="1">
      <alignment vertical="top" wrapText="1"/>
    </xf>
    <xf numFmtId="165" fontId="3" fillId="0" borderId="1" xfId="0" applyNumberFormat="1" applyFont="1" applyBorder="1" applyAlignment="1">
      <alignment vertical="top" wrapText="1"/>
    </xf>
    <xf numFmtId="169" fontId="3" fillId="0" borderId="1" xfId="0" applyNumberFormat="1" applyFont="1" applyBorder="1" applyAlignment="1">
      <alignment vertical="top" wrapText="1"/>
    </xf>
    <xf numFmtId="3" fontId="3" fillId="2" borderId="1" xfId="0" applyNumberFormat="1" applyFont="1" applyFill="1" applyBorder="1" applyAlignment="1">
      <alignment vertical="top"/>
    </xf>
    <xf numFmtId="0" fontId="3" fillId="3" borderId="1" xfId="0" applyFont="1" applyFill="1" applyBorder="1" applyAlignment="1">
      <alignment vertical="top" wrapText="1"/>
    </xf>
    <xf numFmtId="0" fontId="3" fillId="0" borderId="1" xfId="0" applyFont="1" applyBorder="1"/>
    <xf numFmtId="0" fontId="2" fillId="0" borderId="1" xfId="0" applyFont="1" applyBorder="1"/>
    <xf numFmtId="0" fontId="3" fillId="0" borderId="0" xfId="0" applyFont="1" applyAlignment="1">
      <alignment vertical="center" wrapText="1"/>
    </xf>
    <xf numFmtId="166" fontId="3" fillId="0" borderId="1" xfId="0" applyNumberFormat="1" applyFont="1" applyBorder="1" applyAlignment="1">
      <alignment vertical="center"/>
    </xf>
    <xf numFmtId="0" fontId="0" fillId="0" borderId="0" xfId="0" applyAlignment="1">
      <alignment vertical="center"/>
    </xf>
    <xf numFmtId="0" fontId="2" fillId="0" borderId="0" xfId="0" applyFont="1" applyAlignment="1">
      <alignment vertical="center"/>
    </xf>
    <xf numFmtId="166" fontId="2" fillId="0" borderId="1" xfId="0" applyNumberFormat="1" applyFont="1" applyBorder="1" applyAlignment="1">
      <alignment vertical="center"/>
    </xf>
    <xf numFmtId="0" fontId="3" fillId="2" borderId="0" xfId="0" applyFont="1" applyFill="1" applyAlignment="1">
      <alignment vertical="top"/>
    </xf>
    <xf numFmtId="0" fontId="9" fillId="4" borderId="1" xfId="0" applyFont="1" applyFill="1" applyBorder="1" applyAlignment="1">
      <alignment horizontal="right" vertical="center" wrapText="1"/>
    </xf>
    <xf numFmtId="0" fontId="2" fillId="4" borderId="1" xfId="0" applyFont="1" applyFill="1" applyBorder="1" applyAlignment="1">
      <alignment horizontal="right" vertical="center" wrapText="1"/>
    </xf>
    <xf numFmtId="0" fontId="3" fillId="2" borderId="1" xfId="0" applyFont="1" applyFill="1" applyBorder="1" applyAlignment="1">
      <alignment horizontal="right" vertical="top"/>
    </xf>
    <xf numFmtId="0" fontId="10" fillId="0" borderId="0" xfId="0" applyFont="1" applyAlignment="1">
      <alignment horizontal="right"/>
    </xf>
    <xf numFmtId="0" fontId="5" fillId="0" borderId="0" xfId="0" applyFont="1" applyAlignment="1">
      <alignment vertical="center"/>
    </xf>
    <xf numFmtId="0" fontId="5" fillId="0" borderId="0" xfId="0" applyFont="1" applyAlignment="1">
      <alignment wrapText="1"/>
    </xf>
    <xf numFmtId="0" fontId="2" fillId="0" borderId="0" xfId="0" applyFont="1" applyAlignment="1">
      <alignment vertical="top"/>
    </xf>
    <xf numFmtId="0" fontId="4" fillId="0" borderId="0" xfId="0" applyFont="1" applyAlignment="1">
      <alignment vertical="top"/>
    </xf>
    <xf numFmtId="0" fontId="3" fillId="0" borderId="1" xfId="0" applyFont="1" applyBorder="1" applyAlignment="1">
      <alignment horizontal="left" vertical="center" wrapText="1"/>
    </xf>
    <xf numFmtId="0" fontId="3" fillId="2" borderId="1" xfId="0" applyFont="1" applyFill="1" applyBorder="1" applyAlignment="1">
      <alignment horizontal="left" vertical="center"/>
    </xf>
    <xf numFmtId="0" fontId="3" fillId="2" borderId="1" xfId="0" applyFont="1" applyFill="1" applyBorder="1" applyAlignment="1">
      <alignment horizontal="left" vertical="center" wrapText="1"/>
    </xf>
    <xf numFmtId="0" fontId="4" fillId="0" borderId="0" xfId="0" applyFont="1" applyAlignment="1">
      <alignment wrapText="1"/>
    </xf>
    <xf numFmtId="0" fontId="0" fillId="0" borderId="0" xfId="0"/>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9"/>
  <sheetViews>
    <sheetView showGridLines="0" tabSelected="1" workbookViewId="0">
      <selection activeCell="A11" sqref="A11"/>
    </sheetView>
  </sheetViews>
  <sheetFormatPr defaultRowHeight="15"/>
  <cols>
    <col min="1" max="1" width="118" customWidth="1"/>
  </cols>
  <sheetData>
    <row r="1" spans="1:1" ht="20.25">
      <c r="A1" s="1" t="s">
        <v>0</v>
      </c>
    </row>
    <row r="3" spans="1:1">
      <c r="A3" s="2" t="s">
        <v>1</v>
      </c>
    </row>
    <row r="4" spans="1:1" ht="38.25">
      <c r="A4" s="3" t="s">
        <v>2</v>
      </c>
    </row>
    <row r="6" spans="1:1">
      <c r="A6" s="2" t="s">
        <v>3</v>
      </c>
    </row>
    <row r="7" spans="1:1" ht="25.5">
      <c r="A7" s="3" t="s">
        <v>4</v>
      </c>
    </row>
    <row r="8" spans="1:1" ht="25.5">
      <c r="A8" s="3" t="s">
        <v>5</v>
      </c>
    </row>
    <row r="9" spans="1:1" ht="38.25">
      <c r="A9" s="3" t="s">
        <v>542</v>
      </c>
    </row>
    <row r="10" spans="1:1" ht="51">
      <c r="A10" s="3" t="s">
        <v>6</v>
      </c>
    </row>
    <row r="11" spans="1:1" ht="38.25">
      <c r="A11" s="3" t="s">
        <v>543</v>
      </c>
    </row>
    <row r="12" spans="1:1" ht="38.25">
      <c r="A12" s="3" t="s">
        <v>7</v>
      </c>
    </row>
    <row r="14" spans="1:1">
      <c r="A14" s="2" t="s">
        <v>8</v>
      </c>
    </row>
    <row r="15" spans="1:1">
      <c r="A15" s="3" t="s">
        <v>9</v>
      </c>
    </row>
    <row r="16" spans="1:1">
      <c r="A16" s="3" t="s">
        <v>10</v>
      </c>
    </row>
    <row r="17" spans="1:1">
      <c r="A17" s="3" t="s">
        <v>11</v>
      </c>
    </row>
    <row r="18" spans="1:1">
      <c r="A18" s="3" t="s">
        <v>12</v>
      </c>
    </row>
    <row r="19" spans="1:1">
      <c r="A19" s="3" t="s">
        <v>13</v>
      </c>
    </row>
    <row r="20" spans="1:1">
      <c r="A20" s="3" t="s">
        <v>14</v>
      </c>
    </row>
    <row r="21" spans="1:1">
      <c r="A21" s="3" t="s">
        <v>15</v>
      </c>
    </row>
    <row r="22" spans="1:1" ht="25.5">
      <c r="A22" s="3" t="s">
        <v>16</v>
      </c>
    </row>
    <row r="23" spans="1:1">
      <c r="A23" s="3" t="s">
        <v>17</v>
      </c>
    </row>
    <row r="24" spans="1:1">
      <c r="A24" s="3" t="s">
        <v>18</v>
      </c>
    </row>
    <row r="26" spans="1:1">
      <c r="A26" s="2" t="s">
        <v>19</v>
      </c>
    </row>
    <row r="27" spans="1:1">
      <c r="A27" s="4" t="s">
        <v>20</v>
      </c>
    </row>
    <row r="28" spans="1:1">
      <c r="A28" s="5" t="s">
        <v>21</v>
      </c>
    </row>
    <row r="29" spans="1:1">
      <c r="A29" s="6" t="s">
        <v>22</v>
      </c>
    </row>
    <row r="30" spans="1:1">
      <c r="A30" s="7" t="s">
        <v>23</v>
      </c>
    </row>
    <row r="32" spans="1:1">
      <c r="A32" s="2" t="s">
        <v>24</v>
      </c>
    </row>
    <row r="33" spans="1:1" ht="25.5">
      <c r="A33" s="3" t="s">
        <v>25</v>
      </c>
    </row>
    <row r="34" spans="1:1" ht="25.5">
      <c r="A34" s="3" t="s">
        <v>26</v>
      </c>
    </row>
    <row r="35" spans="1:1" ht="38.25">
      <c r="A35" s="3" t="s">
        <v>27</v>
      </c>
    </row>
    <row r="36" spans="1:1">
      <c r="A36" s="3" t="s">
        <v>28</v>
      </c>
    </row>
    <row r="38" spans="1:1">
      <c r="A38" s="2" t="s">
        <v>29</v>
      </c>
    </row>
    <row r="39" spans="1:1" ht="25.5">
      <c r="A39" s="3" t="s">
        <v>30</v>
      </c>
    </row>
    <row r="40" spans="1:1" ht="25.5">
      <c r="A40" s="3" t="s">
        <v>31</v>
      </c>
    </row>
    <row r="41" spans="1:1" ht="25.5">
      <c r="A41" s="3" t="s">
        <v>544</v>
      </c>
    </row>
    <row r="43" spans="1:1" ht="26.25">
      <c r="A43" s="8" t="s">
        <v>32</v>
      </c>
    </row>
    <row r="44" spans="1:1">
      <c r="A44" s="8" t="s">
        <v>33</v>
      </c>
    </row>
    <row r="46" spans="1:1">
      <c r="A46" s="2" t="s">
        <v>34</v>
      </c>
    </row>
    <row r="47" spans="1:1">
      <c r="A47" s="8" t="s">
        <v>35</v>
      </c>
    </row>
    <row r="48" spans="1:1" ht="26.25">
      <c r="A48" s="8" t="s">
        <v>36</v>
      </c>
    </row>
    <row r="49" spans="1:1">
      <c r="A49" s="8" t="s">
        <v>37</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5"/>
  <sheetViews>
    <sheetView workbookViewId="0">
      <selection activeCell="C10" sqref="C10"/>
    </sheetView>
  </sheetViews>
  <sheetFormatPr defaultRowHeight="15"/>
  <cols>
    <col min="1" max="1" width="46" customWidth="1"/>
    <col min="2" max="2" width="20" customWidth="1"/>
    <col min="3" max="3" width="64" customWidth="1"/>
    <col min="4" max="5" width="18" customWidth="1"/>
    <col min="6" max="6" width="30" customWidth="1"/>
  </cols>
  <sheetData>
    <row r="1" spans="1:3">
      <c r="A1" s="2" t="s">
        <v>38</v>
      </c>
    </row>
    <row r="2" spans="1:3">
      <c r="A2" s="9" t="s">
        <v>39</v>
      </c>
      <c r="B2" s="10"/>
    </row>
    <row r="3" spans="1:3">
      <c r="A3" s="9" t="s">
        <v>40</v>
      </c>
      <c r="B3" s="10"/>
    </row>
    <row r="4" spans="1:3">
      <c r="A4" s="9" t="s">
        <v>41</v>
      </c>
      <c r="B4" s="10"/>
    </row>
    <row r="5" spans="1:3">
      <c r="A5" s="9" t="s">
        <v>42</v>
      </c>
      <c r="B5" s="10"/>
    </row>
    <row r="6" spans="1:3" ht="25.5">
      <c r="A6" s="9" t="s">
        <v>43</v>
      </c>
      <c r="B6" s="10"/>
      <c r="C6" s="11" t="s">
        <v>44</v>
      </c>
    </row>
    <row r="7" spans="1:3">
      <c r="A7" s="9" t="s">
        <v>45</v>
      </c>
      <c r="B7" s="10"/>
    </row>
    <row r="8" spans="1:3">
      <c r="A8" s="9" t="s">
        <v>46</v>
      </c>
      <c r="B8" s="10"/>
    </row>
    <row r="9" spans="1:3" ht="25.5">
      <c r="A9" s="9" t="s">
        <v>47</v>
      </c>
      <c r="B9" s="12">
        <v>1</v>
      </c>
      <c r="C9" s="11" t="s">
        <v>48</v>
      </c>
    </row>
    <row r="10" spans="1:3" ht="25.5">
      <c r="A10" s="9" t="s">
        <v>49</v>
      </c>
      <c r="B10" s="10"/>
      <c r="C10" s="11" t="s">
        <v>50</v>
      </c>
    </row>
    <row r="11" spans="1:3">
      <c r="A11" s="9" t="s">
        <v>51</v>
      </c>
      <c r="B11" s="13"/>
    </row>
    <row r="12" spans="1:3">
      <c r="A12" s="9" t="s">
        <v>52</v>
      </c>
      <c r="B12" s="10"/>
      <c r="C12" s="11" t="s">
        <v>53</v>
      </c>
    </row>
    <row r="14" spans="1:3">
      <c r="A14" s="2" t="s">
        <v>54</v>
      </c>
    </row>
    <row r="15" spans="1:3">
      <c r="A15" s="9" t="s">
        <v>55</v>
      </c>
      <c r="B15" s="14"/>
    </row>
    <row r="16" spans="1:3">
      <c r="A16" s="9" t="s">
        <v>56</v>
      </c>
      <c r="B16" s="13"/>
    </row>
    <row r="17" spans="1:3">
      <c r="A17" s="9" t="s">
        <v>57</v>
      </c>
      <c r="B17" s="15"/>
      <c r="C17" s="11" t="s">
        <v>58</v>
      </c>
    </row>
    <row r="18" spans="1:3">
      <c r="A18" s="9" t="s">
        <v>59</v>
      </c>
      <c r="B18" s="16"/>
    </row>
    <row r="19" spans="1:3" ht="25.5">
      <c r="A19" s="9" t="s">
        <v>60</v>
      </c>
      <c r="B19" s="15"/>
      <c r="C19" s="11" t="s">
        <v>61</v>
      </c>
    </row>
    <row r="20" spans="1:3" ht="25.5">
      <c r="A20" s="9" t="s">
        <v>62</v>
      </c>
      <c r="B20" s="17" t="str">
        <f>IF(OR(Invoer!$B$15="",Invoer!$B$19=""),"",Invoer!$B$15*Invoer!$B$19)</f>
        <v/>
      </c>
    </row>
    <row r="21" spans="1:3" ht="25.5">
      <c r="A21" s="9" t="s">
        <v>63</v>
      </c>
      <c r="B21" s="18" t="str">
        <f>IF(OR(Invoer!$B$17="",Invoer!$B$20="",Invoer!$B$20=0),"",Invoer!$B$17/Invoer!$B$20-1)</f>
        <v/>
      </c>
      <c r="C21" s="11" t="s">
        <v>64</v>
      </c>
    </row>
    <row r="23" spans="1:3">
      <c r="A23" s="2" t="s">
        <v>65</v>
      </c>
    </row>
    <row r="24" spans="1:3">
      <c r="A24" s="9" t="s">
        <v>66</v>
      </c>
      <c r="B24" s="15"/>
      <c r="C24" s="11" t="s">
        <v>67</v>
      </c>
    </row>
    <row r="25" spans="1:3">
      <c r="A25" s="9" t="s">
        <v>68</v>
      </c>
      <c r="B25" s="15"/>
    </row>
    <row r="26" spans="1:3">
      <c r="A26" s="9" t="s">
        <v>69</v>
      </c>
      <c r="B26" s="15"/>
      <c r="C26" s="11" t="s">
        <v>70</v>
      </c>
    </row>
    <row r="27" spans="1:3">
      <c r="A27" s="9" t="s">
        <v>71</v>
      </c>
      <c r="B27" s="19" t="str">
        <f>IF(OR(Invoer!$B$25="",Invoer!$B$24="",Invoer!$B$24=0),"",Invoer!$B$25/Invoer!$B$24)</f>
        <v/>
      </c>
    </row>
    <row r="28" spans="1:3" ht="25.5">
      <c r="A28" s="9" t="s">
        <v>72</v>
      </c>
      <c r="B28" s="20" t="str">
        <f>IF(OR(Invoer!$B$26="",Invoer!$B$25="",Invoer!$B$25=0),"",Invoer!$B$26/Invoer!$B$25)</f>
        <v/>
      </c>
    </row>
    <row r="29" spans="1:3" ht="25.5">
      <c r="A29" s="9" t="s">
        <v>73</v>
      </c>
      <c r="B29" s="21" t="str">
        <f>IF(OR(Invoer!$B$25="",Invoer!$B$19="",Invoer!$B$19=0),"",Invoer!$B$25/Invoer!$B$19)</f>
        <v/>
      </c>
    </row>
    <row r="30" spans="1:3" ht="25.5">
      <c r="A30" s="9" t="s">
        <v>74</v>
      </c>
      <c r="B30" s="20" t="str">
        <f>IF(OR(Invoer!$B$15="",Invoer!$B$29="",Invoer!$B$29&lt;=0),"",Invoer!$B$15/(Invoer!$B$29*Invoer!$B$9))</f>
        <v/>
      </c>
      <c r="C30" s="11" t="s">
        <v>75</v>
      </c>
    </row>
    <row r="32" spans="1:3">
      <c r="A32" s="2" t="s">
        <v>76</v>
      </c>
    </row>
    <row r="33" spans="1:6" ht="25.5">
      <c r="A33" s="9" t="s">
        <v>77</v>
      </c>
      <c r="B33" s="10" t="s">
        <v>78</v>
      </c>
      <c r="C33" s="11" t="s">
        <v>79</v>
      </c>
    </row>
    <row r="34" spans="1:6">
      <c r="A34" s="9" t="s">
        <v>80</v>
      </c>
      <c r="B34" s="22">
        <f>IFERROR(MATCH(Invoer!$B$33,{"Tegenvallend","Midden","Gunstig"},0),2)</f>
        <v>2</v>
      </c>
    </row>
    <row r="35" spans="1:6" ht="25.5">
      <c r="A35" s="9" t="s">
        <v>545</v>
      </c>
      <c r="B35" s="10" t="s">
        <v>81</v>
      </c>
      <c r="C35" s="11" t="s">
        <v>546</v>
      </c>
    </row>
    <row r="36" spans="1:6" ht="25.5">
      <c r="A36" s="9" t="s">
        <v>82</v>
      </c>
      <c r="B36" s="23">
        <v>0.1</v>
      </c>
      <c r="C36" s="11" t="s">
        <v>83</v>
      </c>
    </row>
    <row r="38" spans="1:6">
      <c r="A38" s="2" t="s">
        <v>84</v>
      </c>
    </row>
    <row r="39" spans="1:6" ht="32.1" customHeight="1">
      <c r="A39" s="24" t="s">
        <v>85</v>
      </c>
      <c r="B39" s="24" t="s">
        <v>86</v>
      </c>
      <c r="C39" s="24" t="s">
        <v>87</v>
      </c>
      <c r="D39" s="24" t="s">
        <v>88</v>
      </c>
      <c r="E39" s="24" t="s">
        <v>89</v>
      </c>
      <c r="F39" s="24" t="s">
        <v>90</v>
      </c>
    </row>
    <row r="40" spans="1:6">
      <c r="A40" s="10"/>
      <c r="B40" s="25"/>
      <c r="C40" s="10"/>
      <c r="D40" s="10"/>
      <c r="E40" s="10"/>
      <c r="F40" s="25"/>
    </row>
    <row r="41" spans="1:6">
      <c r="A41" s="10"/>
      <c r="B41" s="25"/>
      <c r="C41" s="10"/>
      <c r="D41" s="10"/>
      <c r="E41" s="10"/>
      <c r="F41" s="25"/>
    </row>
    <row r="42" spans="1:6">
      <c r="A42" s="10"/>
      <c r="B42" s="25"/>
      <c r="C42" s="10"/>
      <c r="D42" s="10"/>
      <c r="E42" s="10"/>
      <c r="F42" s="25"/>
    </row>
    <row r="43" spans="1:6">
      <c r="A43" s="10"/>
      <c r="B43" s="25"/>
      <c r="C43" s="10"/>
      <c r="D43" s="10"/>
      <c r="E43" s="10"/>
      <c r="F43" s="25"/>
    </row>
    <row r="44" spans="1:6">
      <c r="A44" s="10"/>
      <c r="B44" s="25"/>
      <c r="C44" s="10"/>
      <c r="D44" s="10"/>
      <c r="E44" s="10"/>
      <c r="F44" s="25"/>
    </row>
    <row r="45" spans="1:6">
      <c r="A45" s="10"/>
      <c r="B45" s="25"/>
      <c r="C45" s="10"/>
      <c r="D45" s="10"/>
      <c r="E45" s="10"/>
      <c r="F45" s="25"/>
    </row>
    <row r="46" spans="1:6">
      <c r="A46" s="10"/>
      <c r="B46" s="25"/>
      <c r="C46" s="10"/>
      <c r="D46" s="10"/>
      <c r="E46" s="10"/>
      <c r="F46" s="25"/>
    </row>
    <row r="47" spans="1:6">
      <c r="A47" s="10"/>
      <c r="B47" s="25"/>
      <c r="C47" s="10"/>
      <c r="D47" s="10"/>
      <c r="E47" s="10"/>
      <c r="F47" s="25"/>
    </row>
    <row r="48" spans="1:6">
      <c r="A48" s="10"/>
      <c r="B48" s="25"/>
      <c r="C48" s="10"/>
      <c r="D48" s="10"/>
      <c r="E48" s="10"/>
      <c r="F48" s="25"/>
    </row>
    <row r="49" spans="1:6">
      <c r="A49" s="10"/>
      <c r="B49" s="25"/>
      <c r="C49" s="10"/>
      <c r="D49" s="10"/>
      <c r="E49" s="10"/>
      <c r="F49" s="25"/>
    </row>
    <row r="50" spans="1:6">
      <c r="A50" s="10"/>
      <c r="B50" s="25"/>
      <c r="C50" s="10"/>
      <c r="D50" s="10"/>
      <c r="E50" s="10"/>
      <c r="F50" s="25"/>
    </row>
    <row r="51" spans="1:6">
      <c r="A51" s="10"/>
      <c r="B51" s="25"/>
      <c r="C51" s="10"/>
      <c r="D51" s="10"/>
      <c r="E51" s="10"/>
      <c r="F51" s="25"/>
    </row>
    <row r="52" spans="1:6">
      <c r="A52" s="10"/>
      <c r="B52" s="25"/>
      <c r="C52" s="10"/>
      <c r="D52" s="10"/>
      <c r="E52" s="10"/>
      <c r="F52" s="25"/>
    </row>
    <row r="53" spans="1:6">
      <c r="A53" s="10"/>
      <c r="B53" s="25"/>
      <c r="C53" s="10"/>
      <c r="D53" s="10"/>
      <c r="E53" s="10"/>
      <c r="F53" s="25"/>
    </row>
    <row r="55" spans="1:6">
      <c r="A55" s="26" t="s">
        <v>91</v>
      </c>
    </row>
  </sheetData>
  <dataValidations count="4">
    <dataValidation type="list" allowBlank="1" errorTitle="Ongeldige waarde" error="Kies een waarde uit de lijst." sqref="B6" xr:uid="{00000000-0002-0000-0100-000000000000}">
      <formula1>"IFRS,US GAAP,Anders"</formula1>
    </dataValidation>
    <dataValidation type="list" allowBlank="1" errorTitle="Ongeldige waarde" error="Kies een waarde uit de lijst." sqref="B10" xr:uid="{00000000-0002-0000-0100-000001000000}">
      <formula1>"Duizenden,Miljoenen"</formula1>
    </dataValidation>
    <dataValidation type="list" allowBlank="1" errorTitle="Ongeldige waarde" error="Kies een waarde uit de lijst." sqref="B33" xr:uid="{00000000-0002-0000-0100-000002000000}">
      <formula1>"Tegenvallend,Midden,Gunstig"</formula1>
    </dataValidation>
    <dataValidation type="list" allowBlank="1" errorTitle="Ongeldige waarde" error="Kies een waarde uit de lijst." sqref="B35" xr:uid="{00000000-0002-0000-0100-000003000000}">
      <formula1>"Per aandeel,Hele bedrijf"</formula1>
    </dataValidation>
  </dataValidation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57"/>
  <sheetViews>
    <sheetView workbookViewId="0">
      <selection activeCell="C60" sqref="C60"/>
    </sheetView>
  </sheetViews>
  <sheetFormatPr defaultRowHeight="15"/>
  <cols>
    <col min="1" max="1" width="50" customWidth="1"/>
    <col min="2" max="4" width="23.28515625" customWidth="1"/>
    <col min="5" max="5" width="60" customWidth="1"/>
  </cols>
  <sheetData>
    <row r="1" spans="1:5">
      <c r="A1" s="2" t="s">
        <v>92</v>
      </c>
    </row>
    <row r="2" spans="1:5" ht="32.1" customHeight="1">
      <c r="A2" s="24" t="s">
        <v>93</v>
      </c>
      <c r="B2" s="24" t="s">
        <v>94</v>
      </c>
      <c r="C2" s="24" t="s">
        <v>95</v>
      </c>
      <c r="D2" s="24"/>
      <c r="E2" s="24" t="s">
        <v>96</v>
      </c>
    </row>
    <row r="3" spans="1:5">
      <c r="A3" s="27" t="s">
        <v>97</v>
      </c>
      <c r="B3" s="28"/>
      <c r="C3" s="29" t="s">
        <v>98</v>
      </c>
      <c r="E3" s="8" t="s">
        <v>99</v>
      </c>
    </row>
    <row r="4" spans="1:5">
      <c r="A4" s="27" t="s">
        <v>100</v>
      </c>
      <c r="B4" s="28"/>
      <c r="C4" s="29" t="s">
        <v>98</v>
      </c>
      <c r="E4" s="8" t="s">
        <v>101</v>
      </c>
    </row>
    <row r="5" spans="1:5" ht="26.25">
      <c r="A5" s="27" t="s">
        <v>102</v>
      </c>
      <c r="B5" s="28"/>
      <c r="C5" s="29" t="s">
        <v>103</v>
      </c>
      <c r="E5" s="8" t="s">
        <v>104</v>
      </c>
    </row>
    <row r="6" spans="1:5">
      <c r="A6" s="27" t="s">
        <v>105</v>
      </c>
      <c r="B6" s="28"/>
      <c r="C6" s="29" t="s">
        <v>103</v>
      </c>
      <c r="E6" s="8" t="s">
        <v>106</v>
      </c>
    </row>
    <row r="7" spans="1:5">
      <c r="A7" s="30" t="s">
        <v>107</v>
      </c>
      <c r="B7" s="31">
        <f>SUM(B3,B4)</f>
        <v>0</v>
      </c>
    </row>
    <row r="9" spans="1:5">
      <c r="A9" s="2" t="s">
        <v>108</v>
      </c>
    </row>
    <row r="10" spans="1:5" ht="32.1" customHeight="1">
      <c r="A10" s="24" t="s">
        <v>93</v>
      </c>
      <c r="B10" s="24" t="s">
        <v>94</v>
      </c>
      <c r="C10" s="24" t="s">
        <v>109</v>
      </c>
      <c r="D10" s="24" t="s">
        <v>110</v>
      </c>
      <c r="E10" s="24" t="s">
        <v>96</v>
      </c>
    </row>
    <row r="11" spans="1:5">
      <c r="A11" s="27" t="s">
        <v>111</v>
      </c>
      <c r="B11" s="28"/>
      <c r="C11" s="29" t="s">
        <v>98</v>
      </c>
      <c r="D11" s="29" t="s">
        <v>98</v>
      </c>
      <c r="E11" s="8" t="s">
        <v>112</v>
      </c>
    </row>
    <row r="12" spans="1:5">
      <c r="A12" s="27" t="s">
        <v>113</v>
      </c>
      <c r="B12" s="28"/>
      <c r="C12" s="29" t="s">
        <v>98</v>
      </c>
      <c r="D12" s="29" t="s">
        <v>98</v>
      </c>
      <c r="E12" s="8"/>
    </row>
    <row r="13" spans="1:5" ht="26.25">
      <c r="A13" s="27" t="s">
        <v>114</v>
      </c>
      <c r="B13" s="28"/>
      <c r="C13" s="29" t="s">
        <v>98</v>
      </c>
      <c r="D13" s="29" t="s">
        <v>98</v>
      </c>
      <c r="E13" s="8" t="s">
        <v>115</v>
      </c>
    </row>
    <row r="14" spans="1:5">
      <c r="A14" s="27" t="s">
        <v>116</v>
      </c>
      <c r="B14" s="28"/>
      <c r="C14" s="29" t="s">
        <v>98</v>
      </c>
      <c r="D14" s="29" t="s">
        <v>98</v>
      </c>
      <c r="E14" s="8" t="s">
        <v>117</v>
      </c>
    </row>
    <row r="15" spans="1:5" ht="26.25">
      <c r="A15" s="27" t="s">
        <v>118</v>
      </c>
      <c r="B15" s="28"/>
      <c r="C15" s="29" t="s">
        <v>98</v>
      </c>
      <c r="D15" s="29" t="s">
        <v>98</v>
      </c>
      <c r="E15" s="8" t="s">
        <v>119</v>
      </c>
    </row>
    <row r="16" spans="1:5">
      <c r="A16" s="27" t="s">
        <v>120</v>
      </c>
      <c r="B16" s="28"/>
      <c r="C16" s="29" t="s">
        <v>98</v>
      </c>
      <c r="D16" s="29" t="s">
        <v>98</v>
      </c>
      <c r="E16" s="8" t="s">
        <v>121</v>
      </c>
    </row>
    <row r="17" spans="1:5" ht="26.25">
      <c r="A17" s="27" t="s">
        <v>122</v>
      </c>
      <c r="B17" s="28"/>
      <c r="C17" s="29" t="s">
        <v>103</v>
      </c>
      <c r="D17" s="29" t="s">
        <v>98</v>
      </c>
      <c r="E17" s="8" t="s">
        <v>123</v>
      </c>
    </row>
    <row r="18" spans="1:5">
      <c r="A18" s="27" t="s">
        <v>124</v>
      </c>
      <c r="B18" s="28"/>
      <c r="C18" s="29" t="s">
        <v>103</v>
      </c>
      <c r="D18" s="29" t="s">
        <v>103</v>
      </c>
      <c r="E18" s="8" t="s">
        <v>125</v>
      </c>
    </row>
    <row r="19" spans="1:5">
      <c r="A19" s="27" t="s">
        <v>126</v>
      </c>
      <c r="B19" s="28"/>
      <c r="C19" s="29" t="s">
        <v>103</v>
      </c>
      <c r="D19" s="29" t="s">
        <v>103</v>
      </c>
      <c r="E19" s="8" t="s">
        <v>127</v>
      </c>
    </row>
    <row r="20" spans="1:5" ht="26.25">
      <c r="A20" s="27" t="s">
        <v>128</v>
      </c>
      <c r="B20" s="28"/>
      <c r="C20" s="29" t="s">
        <v>129</v>
      </c>
      <c r="D20" s="29" t="s">
        <v>129</v>
      </c>
      <c r="E20" s="8" t="s">
        <v>130</v>
      </c>
    </row>
    <row r="21" spans="1:5">
      <c r="A21" s="30" t="s">
        <v>131</v>
      </c>
      <c r="B21" s="32"/>
    </row>
    <row r="22" spans="1:5">
      <c r="A22" s="30" t="s">
        <v>132</v>
      </c>
      <c r="B22" s="31">
        <f>SUM(B11,B12,B13)</f>
        <v>0</v>
      </c>
    </row>
    <row r="23" spans="1:5">
      <c r="A23" s="30" t="s">
        <v>133</v>
      </c>
      <c r="B23" s="31">
        <f>'EV en kapitaalstructuur'!$B$22+B16+B17</f>
        <v>0</v>
      </c>
    </row>
    <row r="25" spans="1:5">
      <c r="A25" s="2" t="s">
        <v>134</v>
      </c>
    </row>
    <row r="26" spans="1:5" ht="44.25" customHeight="1">
      <c r="A26" s="24" t="s">
        <v>93</v>
      </c>
      <c r="B26" s="24" t="s">
        <v>135</v>
      </c>
      <c r="C26" s="24" t="s">
        <v>136</v>
      </c>
      <c r="D26" s="24"/>
      <c r="E26" s="24" t="s">
        <v>137</v>
      </c>
    </row>
    <row r="27" spans="1:5" ht="25.5">
      <c r="A27" s="61" t="s">
        <v>138</v>
      </c>
      <c r="B27" s="62" t="str">
        <f>IF(AND(Invoer!$B$20="",Invoer!$B$17=""),"",IF(Invoer!$B$20="",Invoer!$B$17,Invoer!$B$20)/Invoer!$B$9)</f>
        <v/>
      </c>
      <c r="C27" s="62" t="str">
        <f>B27</f>
        <v/>
      </c>
      <c r="D27" s="63"/>
      <c r="E27" s="8" t="s">
        <v>139</v>
      </c>
    </row>
    <row r="28" spans="1:5">
      <c r="A28" s="61" t="s">
        <v>140</v>
      </c>
      <c r="B28" s="62">
        <f>'EV en kapitaalstructuur'!$B$22</f>
        <v>0</v>
      </c>
      <c r="C28" s="62">
        <f>B28</f>
        <v>0</v>
      </c>
      <c r="D28" s="63"/>
      <c r="E28" s="8" t="s">
        <v>141</v>
      </c>
    </row>
    <row r="29" spans="1:5">
      <c r="A29" s="61" t="s">
        <v>142</v>
      </c>
      <c r="B29" s="62">
        <f>B16</f>
        <v>0</v>
      </c>
      <c r="C29" s="62">
        <f>B29</f>
        <v>0</v>
      </c>
      <c r="D29" s="63"/>
      <c r="E29" s="8" t="s">
        <v>141</v>
      </c>
    </row>
    <row r="30" spans="1:5">
      <c r="A30" s="61" t="s">
        <v>143</v>
      </c>
      <c r="B30" s="62">
        <f>0</f>
        <v>0</v>
      </c>
      <c r="C30" s="62">
        <f>B17</f>
        <v>0</v>
      </c>
      <c r="D30" s="63"/>
      <c r="E30" s="8" t="s">
        <v>144</v>
      </c>
    </row>
    <row r="31" spans="1:5">
      <c r="A31" s="61" t="s">
        <v>145</v>
      </c>
      <c r="B31" s="62">
        <f>B14+B15</f>
        <v>0</v>
      </c>
      <c r="C31" s="62">
        <f>B31</f>
        <v>0</v>
      </c>
      <c r="D31" s="63"/>
      <c r="E31" s="8" t="s">
        <v>146</v>
      </c>
    </row>
    <row r="32" spans="1:5">
      <c r="A32" s="61" t="s">
        <v>147</v>
      </c>
      <c r="B32" s="62">
        <f>IF(B21="Ja",B20,0)</f>
        <v>0</v>
      </c>
      <c r="C32" s="62">
        <f>B32</f>
        <v>0</v>
      </c>
      <c r="D32" s="63"/>
      <c r="E32" s="8" t="s">
        <v>148</v>
      </c>
    </row>
    <row r="33" spans="1:5">
      <c r="A33" s="61" t="s">
        <v>149</v>
      </c>
      <c r="B33" s="62">
        <f>-'EV en kapitaalstructuur'!$B$7</f>
        <v>0</v>
      </c>
      <c r="C33" s="62">
        <f>B33</f>
        <v>0</v>
      </c>
      <c r="D33" s="63"/>
      <c r="E33" s="8" t="s">
        <v>150</v>
      </c>
    </row>
    <row r="34" spans="1:5" ht="45" customHeight="1">
      <c r="A34" s="64" t="s">
        <v>151</v>
      </c>
      <c r="B34" s="65" t="str">
        <f>IF(B27="","",SUM(B27:B33))</f>
        <v/>
      </c>
      <c r="C34" s="65" t="str">
        <f>IF(C27="","",SUM(C27:C33))</f>
        <v/>
      </c>
      <c r="D34" s="63"/>
      <c r="E34" s="8" t="s">
        <v>152</v>
      </c>
    </row>
    <row r="36" spans="1:5">
      <c r="A36" s="2" t="s">
        <v>153</v>
      </c>
    </row>
    <row r="37" spans="1:5" ht="25.5">
      <c r="A37" s="9" t="s">
        <v>154</v>
      </c>
      <c r="B37" s="15"/>
      <c r="E37" s="11" t="s">
        <v>155</v>
      </c>
    </row>
    <row r="38" spans="1:5">
      <c r="A38" s="9" t="s">
        <v>156</v>
      </c>
      <c r="B38" s="15"/>
    </row>
    <row r="39" spans="1:5" ht="25.5">
      <c r="A39" s="9" t="s">
        <v>157</v>
      </c>
      <c r="B39" s="15"/>
    </row>
    <row r="40" spans="1:5">
      <c r="A40" s="9" t="s">
        <v>158</v>
      </c>
      <c r="B40" s="17">
        <f>'EV en kapitaalstructuur'!$B$22-'EV en kapitaalstructuur'!$B$7</f>
        <v>0</v>
      </c>
    </row>
    <row r="41" spans="1:5">
      <c r="A41" s="9" t="s">
        <v>159</v>
      </c>
      <c r="B41" s="17">
        <f>'EV en kapitaalstructuur'!$B$22+B16+B17-'EV en kapitaalstructuur'!$B$7</f>
        <v>0</v>
      </c>
    </row>
    <row r="42" spans="1:5">
      <c r="A42" s="9" t="s">
        <v>160</v>
      </c>
      <c r="B42" s="20" t="str">
        <f>IF(OR('EV en kapitaalstructuur'!$B$37="",'EV en kapitaalstructuur'!$B$37&lt;=0),"",'EV en kapitaalstructuur'!$B$40/'EV en kapitaalstructuur'!$B$37)</f>
        <v/>
      </c>
      <c r="E42" s="11" t="s">
        <v>161</v>
      </c>
    </row>
    <row r="43" spans="1:5">
      <c r="A43" s="9" t="s">
        <v>162</v>
      </c>
      <c r="B43" s="20" t="str">
        <f>IF(OR('EV en kapitaalstructuur'!$B$37="",'EV en kapitaalstructuur'!$B$37&lt;=0),"",'EV en kapitaalstructuur'!$B$41/'EV en kapitaalstructuur'!$B$37)</f>
        <v/>
      </c>
      <c r="E43" s="11" t="s">
        <v>163</v>
      </c>
    </row>
    <row r="44" spans="1:5">
      <c r="A44" s="9" t="s">
        <v>164</v>
      </c>
      <c r="B44" s="20" t="str">
        <f>IF(OR('EV en kapitaalstructuur'!$B$38="",'EV en kapitaalstructuur'!$B$38&lt;=0),"",'EV en kapitaalstructuur'!$B$40/'EV en kapitaalstructuur'!$B$38)</f>
        <v/>
      </c>
      <c r="E44" s="11" t="s">
        <v>165</v>
      </c>
    </row>
    <row r="45" spans="1:5" ht="25.5">
      <c r="A45" s="9" t="s">
        <v>166</v>
      </c>
      <c r="B45" s="20" t="str">
        <f>IF(OR('EV en kapitaalstructuur'!$B$38="",'EV en kapitaalstructuur'!$B$39="",'EV en kapitaalstructuur'!$B$39&lt;=0),"",'EV en kapitaalstructuur'!$B$38/'EV en kapitaalstructuur'!$B$39)</f>
        <v/>
      </c>
      <c r="E45" s="11" t="s">
        <v>167</v>
      </c>
    </row>
    <row r="46" spans="1:5">
      <c r="A46" s="9" t="s">
        <v>168</v>
      </c>
      <c r="B46" s="20" t="str">
        <f>IF(OR('EV en kapitaalstructuur'!$B$37="",'EV en kapitaalstructuur'!$B$37&lt;=0,'EV en kapitaalstructuur'!$B$34=""),"",'EV en kapitaalstructuur'!$B$34/'EV en kapitaalstructuur'!$B$37)</f>
        <v/>
      </c>
      <c r="E46" s="11" t="s">
        <v>169</v>
      </c>
    </row>
    <row r="47" spans="1:5">
      <c r="A47" s="9" t="s">
        <v>170</v>
      </c>
      <c r="B47" s="20" t="str">
        <f>IF(OR('EV en kapitaalstructuur'!$B$37="",'EV en kapitaalstructuur'!$B$37&lt;=0,'EV en kapitaalstructuur'!$C$34=""),"",'EV en kapitaalstructuur'!$C$34/'EV en kapitaalstructuur'!$B$37)</f>
        <v/>
      </c>
    </row>
    <row r="49" spans="1:5">
      <c r="A49" s="2" t="s">
        <v>171</v>
      </c>
    </row>
    <row r="50" spans="1:5" ht="32.1" customHeight="1">
      <c r="A50" s="24" t="s">
        <v>172</v>
      </c>
      <c r="B50" s="24" t="s">
        <v>94</v>
      </c>
      <c r="C50" s="24" t="s">
        <v>173</v>
      </c>
      <c r="D50" s="24" t="s">
        <v>174</v>
      </c>
      <c r="E50" s="24" t="s">
        <v>175</v>
      </c>
    </row>
    <row r="51" spans="1:5">
      <c r="A51" s="10"/>
      <c r="B51" s="28"/>
      <c r="C51" s="34"/>
      <c r="D51" s="25"/>
      <c r="E51" s="10"/>
    </row>
    <row r="52" spans="1:5">
      <c r="A52" s="10"/>
      <c r="B52" s="28"/>
      <c r="C52" s="34"/>
      <c r="D52" s="25"/>
      <c r="E52" s="10"/>
    </row>
    <row r="53" spans="1:5">
      <c r="A53" s="10"/>
      <c r="B53" s="28"/>
      <c r="C53" s="34"/>
      <c r="D53" s="25"/>
      <c r="E53" s="10"/>
    </row>
    <row r="54" spans="1:5">
      <c r="A54" s="10"/>
      <c r="B54" s="28"/>
      <c r="C54" s="34"/>
      <c r="D54" s="25"/>
      <c r="E54" s="10"/>
    </row>
    <row r="55" spans="1:5">
      <c r="A55" s="10"/>
      <c r="B55" s="28"/>
      <c r="C55" s="34"/>
      <c r="D55" s="25"/>
      <c r="E55" s="10"/>
    </row>
    <row r="56" spans="1:5">
      <c r="A56" s="10"/>
      <c r="B56" s="28"/>
      <c r="C56" s="34"/>
      <c r="D56" s="25"/>
      <c r="E56" s="10"/>
    </row>
    <row r="57" spans="1:5">
      <c r="A57" s="26" t="s">
        <v>176</v>
      </c>
    </row>
  </sheetData>
  <dataValidations count="1">
    <dataValidation type="list" allowBlank="1" errorTitle="Ongeldige waarde" error="Kies een waarde uit de lijst." sqref="B21" xr:uid="{00000000-0002-0000-0200-000000000000}">
      <formula1>"Ja,Nee"</formula1>
    </dataValidation>
  </dataValidation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48"/>
  <sheetViews>
    <sheetView workbookViewId="0">
      <pane xSplit="1" ySplit="2" topLeftCell="B3" activePane="bottomRight" state="frozen"/>
      <selection pane="topRight"/>
      <selection pane="bottomLeft"/>
      <selection pane="bottomRight" activeCell="L45" sqref="L45"/>
    </sheetView>
  </sheetViews>
  <sheetFormatPr defaultRowHeight="15"/>
  <cols>
    <col min="1" max="1" width="52" customWidth="1"/>
    <col min="2" max="14" width="15.28515625" customWidth="1"/>
    <col min="15" max="15" width="44" customWidth="1"/>
  </cols>
  <sheetData>
    <row r="1" spans="1:15" ht="32.1" customHeight="1">
      <c r="A1" s="24" t="s">
        <v>177</v>
      </c>
      <c r="B1" s="24">
        <v>2016</v>
      </c>
      <c r="C1" s="68">
        <v>2017</v>
      </c>
      <c r="D1" s="68">
        <v>2018</v>
      </c>
      <c r="E1" s="68">
        <v>2019</v>
      </c>
      <c r="F1" s="68">
        <v>2020</v>
      </c>
      <c r="G1" s="68">
        <v>2021</v>
      </c>
      <c r="H1" s="68">
        <v>2022</v>
      </c>
      <c r="I1" s="68">
        <v>2023</v>
      </c>
      <c r="J1" s="68">
        <v>2024</v>
      </c>
      <c r="K1" s="68">
        <v>2025</v>
      </c>
      <c r="L1" s="67" t="s">
        <v>523</v>
      </c>
      <c r="M1" s="24" t="s">
        <v>520</v>
      </c>
      <c r="N1" s="24" t="s">
        <v>521</v>
      </c>
      <c r="O1" s="24" t="s">
        <v>188</v>
      </c>
    </row>
    <row r="2" spans="1:15">
      <c r="A2" s="30" t="s">
        <v>189</v>
      </c>
      <c r="B2" s="32"/>
      <c r="C2" s="32"/>
      <c r="D2" s="32"/>
      <c r="E2" s="32"/>
      <c r="F2" s="32"/>
      <c r="G2" s="32"/>
      <c r="H2" s="32"/>
      <c r="I2" s="32"/>
      <c r="J2" s="32"/>
      <c r="K2" s="32"/>
      <c r="L2" s="66"/>
    </row>
    <row r="3" spans="1:15">
      <c r="A3" s="9" t="s">
        <v>190</v>
      </c>
      <c r="B3" s="28"/>
      <c r="C3" s="28"/>
      <c r="D3" s="28"/>
      <c r="E3" s="28"/>
      <c r="F3" s="28"/>
      <c r="G3" s="28"/>
      <c r="H3" s="28"/>
      <c r="I3" s="28"/>
      <c r="J3" s="28"/>
      <c r="K3" s="28"/>
      <c r="L3" s="28"/>
      <c r="M3" s="35" t="str">
        <f>IF(OR(COUNT(G3:K3)&lt;5,G3&lt;=0),"",(K3/G3)^(1/4)-1)</f>
        <v/>
      </c>
      <c r="N3" s="35" t="str">
        <f>IF(OR(COUNT(B3:K3)&lt;10,B3&lt;=0),"",(K3/B3)^(1/9)-1)</f>
        <v/>
      </c>
      <c r="O3" s="36"/>
    </row>
    <row r="4" spans="1:15">
      <c r="A4" s="3" t="s">
        <v>191</v>
      </c>
      <c r="B4" s="35"/>
      <c r="C4" s="35" t="str">
        <f t="shared" ref="C4:K4" si="0">IF(OR(C3="",B3="",B3=0),"",C3/B3-1)</f>
        <v/>
      </c>
      <c r="D4" s="35" t="str">
        <f t="shared" si="0"/>
        <v/>
      </c>
      <c r="E4" s="35" t="str">
        <f t="shared" si="0"/>
        <v/>
      </c>
      <c r="F4" s="35" t="str">
        <f t="shared" si="0"/>
        <v/>
      </c>
      <c r="G4" s="35" t="str">
        <f t="shared" si="0"/>
        <v/>
      </c>
      <c r="H4" s="35" t="str">
        <f t="shared" si="0"/>
        <v/>
      </c>
      <c r="I4" s="35" t="str">
        <f t="shared" si="0"/>
        <v/>
      </c>
      <c r="J4" s="35" t="str">
        <f t="shared" si="0"/>
        <v/>
      </c>
      <c r="K4" s="35" t="str">
        <f t="shared" si="0"/>
        <v/>
      </c>
      <c r="L4" s="35"/>
      <c r="M4" s="35" t="str">
        <f>IF(COUNT(G4:K4)=0,"",AVERAGE(G4:K4))</f>
        <v/>
      </c>
      <c r="N4" s="35" t="str">
        <f>IF(COUNT(B4:K4)=0,"",AVERAGE(B4:K4))</f>
        <v/>
      </c>
      <c r="O4" s="10"/>
    </row>
    <row r="5" spans="1:15">
      <c r="A5" s="9" t="s">
        <v>192</v>
      </c>
      <c r="B5" s="28"/>
      <c r="C5" s="28"/>
      <c r="D5" s="28"/>
      <c r="E5" s="28"/>
      <c r="F5" s="28"/>
      <c r="G5" s="28"/>
      <c r="H5" s="28"/>
      <c r="I5" s="28"/>
      <c r="J5" s="28"/>
      <c r="K5" s="28"/>
      <c r="L5" s="28"/>
      <c r="M5" s="35" t="str">
        <f>IF(OR(COUNT(G5:K5)&lt;5,G5&lt;=0),"",(K5/G5)^(1/4)-1)</f>
        <v/>
      </c>
      <c r="N5" s="35" t="str">
        <f>IF(OR(COUNT(B5:K5)&lt;10,B5&lt;=0),"",(K5/B5)^(1/9)-1)</f>
        <v/>
      </c>
      <c r="O5" s="10"/>
    </row>
    <row r="6" spans="1:15">
      <c r="A6" s="3" t="s">
        <v>193</v>
      </c>
      <c r="B6" s="35" t="str">
        <f t="shared" ref="B6:K6" si="1">IF(OR(B5="",B3="",B3=0),"",B5/B3)</f>
        <v/>
      </c>
      <c r="C6" s="35" t="str">
        <f t="shared" si="1"/>
        <v/>
      </c>
      <c r="D6" s="35" t="str">
        <f t="shared" si="1"/>
        <v/>
      </c>
      <c r="E6" s="35" t="str">
        <f t="shared" si="1"/>
        <v/>
      </c>
      <c r="F6" s="35" t="str">
        <f t="shared" si="1"/>
        <v/>
      </c>
      <c r="G6" s="35" t="str">
        <f t="shared" si="1"/>
        <v/>
      </c>
      <c r="H6" s="35" t="str">
        <f t="shared" si="1"/>
        <v/>
      </c>
      <c r="I6" s="35" t="str">
        <f t="shared" si="1"/>
        <v/>
      </c>
      <c r="J6" s="35" t="str">
        <f t="shared" si="1"/>
        <v/>
      </c>
      <c r="K6" s="35" t="str">
        <f t="shared" si="1"/>
        <v/>
      </c>
      <c r="L6" s="35"/>
      <c r="M6" s="35" t="str">
        <f>IF(COUNT(G6:K6)=0,"",AVERAGE(G6:K6))</f>
        <v/>
      </c>
      <c r="N6" s="35" t="str">
        <f>IF(COUNT(B6:K6)=0,"",AVERAGE(B6:K6))</f>
        <v/>
      </c>
      <c r="O6" s="10"/>
    </row>
    <row r="7" spans="1:15">
      <c r="A7" s="9" t="s">
        <v>194</v>
      </c>
      <c r="B7" s="28"/>
      <c r="C7" s="28"/>
      <c r="D7" s="28"/>
      <c r="E7" s="28"/>
      <c r="F7" s="28"/>
      <c r="G7" s="28"/>
      <c r="H7" s="28"/>
      <c r="I7" s="28"/>
      <c r="J7" s="28"/>
      <c r="K7" s="28"/>
      <c r="L7" s="28"/>
      <c r="M7" s="37"/>
      <c r="N7" s="37"/>
      <c r="O7" s="10"/>
    </row>
    <row r="8" spans="1:15">
      <c r="A8" s="9" t="s">
        <v>195</v>
      </c>
      <c r="B8" s="28"/>
      <c r="C8" s="28"/>
      <c r="D8" s="28"/>
      <c r="E8" s="28"/>
      <c r="F8" s="28"/>
      <c r="G8" s="28"/>
      <c r="H8" s="28"/>
      <c r="I8" s="28"/>
      <c r="J8" s="28"/>
      <c r="K8" s="28"/>
      <c r="L8" s="28"/>
      <c r="M8" s="37"/>
      <c r="N8" s="37"/>
      <c r="O8" s="10"/>
    </row>
    <row r="9" spans="1:15">
      <c r="A9" s="3" t="s">
        <v>196</v>
      </c>
      <c r="B9" s="35" t="str">
        <f t="shared" ref="B9:K9" si="2">IF(OR(B8="",B3="",B3=0),"",B8/B3)</f>
        <v/>
      </c>
      <c r="C9" s="35" t="str">
        <f t="shared" si="2"/>
        <v/>
      </c>
      <c r="D9" s="35" t="str">
        <f t="shared" si="2"/>
        <v/>
      </c>
      <c r="E9" s="35" t="str">
        <f t="shared" si="2"/>
        <v/>
      </c>
      <c r="F9" s="35" t="str">
        <f t="shared" si="2"/>
        <v/>
      </c>
      <c r="G9" s="35" t="str">
        <f t="shared" si="2"/>
        <v/>
      </c>
      <c r="H9" s="35" t="str">
        <f t="shared" si="2"/>
        <v/>
      </c>
      <c r="I9" s="35" t="str">
        <f t="shared" si="2"/>
        <v/>
      </c>
      <c r="J9" s="35" t="str">
        <f t="shared" si="2"/>
        <v/>
      </c>
      <c r="K9" s="35" t="str">
        <f t="shared" si="2"/>
        <v/>
      </c>
      <c r="L9" s="35"/>
      <c r="M9" s="35" t="str">
        <f>IF(COUNT(G9:K9)=0,"",AVERAGE(G9:K9))</f>
        <v/>
      </c>
      <c r="N9" s="35" t="str">
        <f>IF(COUNT(B9:K9)=0,"",AVERAGE(B9:K9))</f>
        <v/>
      </c>
      <c r="O9" s="10"/>
    </row>
    <row r="10" spans="1:15">
      <c r="A10" s="9" t="s">
        <v>197</v>
      </c>
      <c r="B10" s="28"/>
      <c r="C10" s="28"/>
      <c r="D10" s="28"/>
      <c r="E10" s="28"/>
      <c r="F10" s="28"/>
      <c r="G10" s="28"/>
      <c r="H10" s="28"/>
      <c r="I10" s="28"/>
      <c r="J10" s="28"/>
      <c r="K10" s="28"/>
      <c r="L10" s="28"/>
      <c r="M10" s="37"/>
      <c r="N10" s="37"/>
      <c r="O10" s="10"/>
    </row>
    <row r="11" spans="1:15">
      <c r="A11" s="3" t="s">
        <v>198</v>
      </c>
      <c r="B11" s="35" t="str">
        <f t="shared" ref="B11:K11" si="3">IF(OR(B10="",B3="",B3=0),"",B10/B3)</f>
        <v/>
      </c>
      <c r="C11" s="35" t="str">
        <f t="shared" si="3"/>
        <v/>
      </c>
      <c r="D11" s="35" t="str">
        <f t="shared" si="3"/>
        <v/>
      </c>
      <c r="E11" s="35" t="str">
        <f t="shared" si="3"/>
        <v/>
      </c>
      <c r="F11" s="35" t="str">
        <f t="shared" si="3"/>
        <v/>
      </c>
      <c r="G11" s="35" t="str">
        <f t="shared" si="3"/>
        <v/>
      </c>
      <c r="H11" s="35" t="str">
        <f t="shared" si="3"/>
        <v/>
      </c>
      <c r="I11" s="35" t="str">
        <f t="shared" si="3"/>
        <v/>
      </c>
      <c r="J11" s="35" t="str">
        <f t="shared" si="3"/>
        <v/>
      </c>
      <c r="K11" s="35" t="str">
        <f t="shared" si="3"/>
        <v/>
      </c>
      <c r="L11" s="35"/>
      <c r="M11" s="35" t="str">
        <f>IF(COUNT(G11:K11)=0,"",AVERAGE(G11:K11))</f>
        <v/>
      </c>
      <c r="N11" s="35" t="str">
        <f>IF(COUNT(B11:K11)=0,"",AVERAGE(B11:K11))</f>
        <v/>
      </c>
      <c r="O11" s="10"/>
    </row>
    <row r="12" spans="1:15">
      <c r="A12" s="9" t="s">
        <v>199</v>
      </c>
      <c r="B12" s="28"/>
      <c r="C12" s="28"/>
      <c r="D12" s="28"/>
      <c r="E12" s="28"/>
      <c r="F12" s="28"/>
      <c r="G12" s="28"/>
      <c r="H12" s="28"/>
      <c r="I12" s="28"/>
      <c r="J12" s="28"/>
      <c r="K12" s="28"/>
      <c r="L12" s="28"/>
      <c r="M12" s="37"/>
      <c r="N12" s="37"/>
      <c r="O12" s="10"/>
    </row>
    <row r="13" spans="1:15">
      <c r="A13" s="3" t="s">
        <v>200</v>
      </c>
      <c r="B13" s="35" t="str">
        <f t="shared" ref="B13:K13" si="4">IF(OR(B12="",B3="",B3=0),"",B12/B3)</f>
        <v/>
      </c>
      <c r="C13" s="35" t="str">
        <f t="shared" si="4"/>
        <v/>
      </c>
      <c r="D13" s="35" t="str">
        <f t="shared" si="4"/>
        <v/>
      </c>
      <c r="E13" s="35" t="str">
        <f t="shared" si="4"/>
        <v/>
      </c>
      <c r="F13" s="35" t="str">
        <f t="shared" si="4"/>
        <v/>
      </c>
      <c r="G13" s="35" t="str">
        <f t="shared" si="4"/>
        <v/>
      </c>
      <c r="H13" s="35" t="str">
        <f t="shared" si="4"/>
        <v/>
      </c>
      <c r="I13" s="35" t="str">
        <f t="shared" si="4"/>
        <v/>
      </c>
      <c r="J13" s="35" t="str">
        <f t="shared" si="4"/>
        <v/>
      </c>
      <c r="K13" s="35" t="str">
        <f t="shared" si="4"/>
        <v/>
      </c>
      <c r="L13" s="35"/>
      <c r="M13" s="35" t="str">
        <f>IF(COUNT(G13:K13)=0,"",AVERAGE(G13:K13))</f>
        <v/>
      </c>
      <c r="N13" s="35" t="str">
        <f>IF(COUNT(B13:K13)=0,"",AVERAGE(B13:K13))</f>
        <v/>
      </c>
      <c r="O13" s="10"/>
    </row>
    <row r="14" spans="1:15" ht="25.5">
      <c r="A14" s="9" t="s">
        <v>201</v>
      </c>
      <c r="B14" s="28"/>
      <c r="C14" s="28"/>
      <c r="D14" s="28"/>
      <c r="E14" s="28"/>
      <c r="F14" s="28"/>
      <c r="G14" s="28"/>
      <c r="H14" s="28"/>
      <c r="I14" s="28"/>
      <c r="J14" s="28"/>
      <c r="K14" s="28"/>
      <c r="L14" s="28"/>
      <c r="M14" s="37"/>
      <c r="N14" s="37"/>
      <c r="O14" s="10"/>
    </row>
    <row r="15" spans="1:15">
      <c r="A15" s="3" t="s">
        <v>202</v>
      </c>
      <c r="B15" s="35" t="str">
        <f t="shared" ref="B15:K15" si="5">IF(OR(B14="",B3="",B3=0),"",B14/B3)</f>
        <v/>
      </c>
      <c r="C15" s="35" t="str">
        <f t="shared" si="5"/>
        <v/>
      </c>
      <c r="D15" s="35" t="str">
        <f t="shared" si="5"/>
        <v/>
      </c>
      <c r="E15" s="35" t="str">
        <f t="shared" si="5"/>
        <v/>
      </c>
      <c r="F15" s="35" t="str">
        <f t="shared" si="5"/>
        <v/>
      </c>
      <c r="G15" s="35" t="str">
        <f t="shared" si="5"/>
        <v/>
      </c>
      <c r="H15" s="35" t="str">
        <f t="shared" si="5"/>
        <v/>
      </c>
      <c r="I15" s="35" t="str">
        <f t="shared" si="5"/>
        <v/>
      </c>
      <c r="J15" s="35" t="str">
        <f t="shared" si="5"/>
        <v/>
      </c>
      <c r="K15" s="35" t="str">
        <f t="shared" si="5"/>
        <v/>
      </c>
      <c r="L15" s="35"/>
      <c r="M15" s="35" t="str">
        <f>IF(COUNT(G15:K15)=0,"",AVERAGE(G15:K15))</f>
        <v/>
      </c>
      <c r="N15" s="35" t="str">
        <f>IF(COUNT(B15:K15)=0,"",AVERAGE(B15:K15))</f>
        <v/>
      </c>
      <c r="O15" s="10"/>
    </row>
    <row r="16" spans="1:15">
      <c r="A16" s="9" t="s">
        <v>203</v>
      </c>
      <c r="B16" s="28"/>
      <c r="C16" s="28"/>
      <c r="D16" s="28"/>
      <c r="E16" s="28"/>
      <c r="F16" s="28"/>
      <c r="G16" s="28"/>
      <c r="H16" s="28"/>
      <c r="I16" s="28"/>
      <c r="J16" s="28"/>
      <c r="K16" s="28"/>
      <c r="L16" s="28"/>
      <c r="M16" s="37"/>
      <c r="N16" s="37"/>
      <c r="O16" s="10"/>
    </row>
    <row r="17" spans="1:15">
      <c r="A17" s="9" t="s">
        <v>204</v>
      </c>
      <c r="B17" s="28"/>
      <c r="C17" s="28"/>
      <c r="D17" s="28"/>
      <c r="E17" s="28"/>
      <c r="F17" s="28"/>
      <c r="G17" s="28"/>
      <c r="H17" s="28"/>
      <c r="I17" s="28"/>
      <c r="J17" s="28"/>
      <c r="K17" s="28"/>
      <c r="L17" s="28"/>
      <c r="M17" s="37"/>
      <c r="N17" s="37"/>
      <c r="O17" s="10"/>
    </row>
    <row r="18" spans="1:15">
      <c r="A18" s="9" t="s">
        <v>205</v>
      </c>
      <c r="B18" s="28"/>
      <c r="C18" s="28"/>
      <c r="D18" s="28"/>
      <c r="E18" s="28"/>
      <c r="F18" s="28"/>
      <c r="G18" s="28"/>
      <c r="H18" s="28"/>
      <c r="I18" s="28"/>
      <c r="J18" s="28"/>
      <c r="K18" s="28"/>
      <c r="L18" s="28"/>
      <c r="M18" s="37"/>
      <c r="N18" s="37"/>
      <c r="O18" s="10"/>
    </row>
    <row r="19" spans="1:15">
      <c r="A19" s="9" t="s">
        <v>206</v>
      </c>
      <c r="B19" s="28"/>
      <c r="C19" s="28"/>
      <c r="D19" s="28"/>
      <c r="E19" s="28"/>
      <c r="F19" s="28"/>
      <c r="G19" s="28"/>
      <c r="H19" s="28"/>
      <c r="I19" s="28"/>
      <c r="J19" s="28"/>
      <c r="K19" s="28"/>
      <c r="L19" s="28"/>
      <c r="M19" s="37"/>
      <c r="N19" s="37"/>
      <c r="O19" s="10"/>
    </row>
    <row r="20" spans="1:15" ht="25.5">
      <c r="A20" s="3" t="s">
        <v>207</v>
      </c>
      <c r="B20" s="37" t="str">
        <f t="shared" ref="B20:K20" si="6">IF(OR(B17="",B14=""),"",B17-B14-IF(B18="",0,B18))</f>
        <v/>
      </c>
      <c r="C20" s="37" t="str">
        <f t="shared" si="6"/>
        <v/>
      </c>
      <c r="D20" s="37" t="str">
        <f t="shared" si="6"/>
        <v/>
      </c>
      <c r="E20" s="37" t="str">
        <f t="shared" si="6"/>
        <v/>
      </c>
      <c r="F20" s="37" t="str">
        <f t="shared" si="6"/>
        <v/>
      </c>
      <c r="G20" s="37" t="str">
        <f t="shared" si="6"/>
        <v/>
      </c>
      <c r="H20" s="37" t="str">
        <f t="shared" si="6"/>
        <v/>
      </c>
      <c r="I20" s="37" t="str">
        <f t="shared" si="6"/>
        <v/>
      </c>
      <c r="J20" s="37" t="str">
        <f t="shared" si="6"/>
        <v/>
      </c>
      <c r="K20" s="37" t="str">
        <f t="shared" si="6"/>
        <v/>
      </c>
      <c r="L20" s="37"/>
      <c r="M20" s="37"/>
      <c r="N20" s="37"/>
      <c r="O20" s="10"/>
    </row>
    <row r="21" spans="1:15" ht="25.5">
      <c r="A21" s="3" t="s">
        <v>208</v>
      </c>
      <c r="B21" s="38" t="str">
        <f t="shared" ref="B21:K21" si="7">IF(OR(B19="",B10="",B10=0),"",B19/B10)</f>
        <v/>
      </c>
      <c r="C21" s="38" t="str">
        <f t="shared" si="7"/>
        <v/>
      </c>
      <c r="D21" s="38" t="str">
        <f t="shared" si="7"/>
        <v/>
      </c>
      <c r="E21" s="38" t="str">
        <f t="shared" si="7"/>
        <v/>
      </c>
      <c r="F21" s="38" t="str">
        <f t="shared" si="7"/>
        <v/>
      </c>
      <c r="G21" s="38" t="str">
        <f t="shared" si="7"/>
        <v/>
      </c>
      <c r="H21" s="38" t="str">
        <f t="shared" si="7"/>
        <v/>
      </c>
      <c r="I21" s="38" t="str">
        <f t="shared" si="7"/>
        <v/>
      </c>
      <c r="J21" s="38" t="str">
        <f t="shared" si="7"/>
        <v/>
      </c>
      <c r="K21" s="38" t="str">
        <f t="shared" si="7"/>
        <v/>
      </c>
      <c r="L21" s="38"/>
      <c r="M21" s="38" t="str">
        <f>IF(COUNT(G21:K21)=0,"",AVERAGE(G21:K21))</f>
        <v/>
      </c>
      <c r="N21" s="38" t="str">
        <f>IF(COUNT(B21:K21)=0,"",AVERAGE(B21:K21))</f>
        <v/>
      </c>
      <c r="O21" s="10"/>
    </row>
    <row r="22" spans="1:15">
      <c r="A22" s="9" t="s">
        <v>209</v>
      </c>
      <c r="B22" s="28"/>
      <c r="C22" s="28"/>
      <c r="D22" s="28"/>
      <c r="E22" s="28"/>
      <c r="F22" s="28"/>
      <c r="G22" s="28"/>
      <c r="H22" s="28"/>
      <c r="I22" s="28"/>
      <c r="J22" s="28"/>
      <c r="K22" s="28"/>
      <c r="L22" s="28"/>
      <c r="M22" s="37"/>
      <c r="N22" s="37"/>
      <c r="O22" s="10"/>
    </row>
    <row r="23" spans="1:15">
      <c r="A23" s="3" t="s">
        <v>210</v>
      </c>
      <c r="B23" s="35" t="str">
        <f t="shared" ref="B23:K23" si="8">IF(OR(B22="",B3="",B3=0),"",B22/B3)</f>
        <v/>
      </c>
      <c r="C23" s="35" t="str">
        <f t="shared" si="8"/>
        <v/>
      </c>
      <c r="D23" s="35" t="str">
        <f t="shared" si="8"/>
        <v/>
      </c>
      <c r="E23" s="35" t="str">
        <f t="shared" si="8"/>
        <v/>
      </c>
      <c r="F23" s="35" t="str">
        <f t="shared" si="8"/>
        <v/>
      </c>
      <c r="G23" s="35" t="str">
        <f t="shared" si="8"/>
        <v/>
      </c>
      <c r="H23" s="35" t="str">
        <f t="shared" si="8"/>
        <v/>
      </c>
      <c r="I23" s="35" t="str">
        <f t="shared" si="8"/>
        <v/>
      </c>
      <c r="J23" s="35" t="str">
        <f t="shared" si="8"/>
        <v/>
      </c>
      <c r="K23" s="35" t="str">
        <f t="shared" si="8"/>
        <v/>
      </c>
      <c r="L23" s="35"/>
      <c r="M23" s="35" t="str">
        <f>IF(COUNT(G23:K23)=0,"",AVERAGE(G23:K23))</f>
        <v/>
      </c>
      <c r="N23" s="35" t="str">
        <f>IF(COUNT(B23:K23)=0,"",AVERAGE(B23:K23))</f>
        <v/>
      </c>
      <c r="O23" s="10"/>
    </row>
    <row r="24" spans="1:15">
      <c r="A24" s="9" t="s">
        <v>211</v>
      </c>
      <c r="B24" s="28"/>
      <c r="C24" s="28"/>
      <c r="D24" s="28"/>
      <c r="E24" s="28"/>
      <c r="F24" s="28"/>
      <c r="G24" s="28"/>
      <c r="H24" s="28"/>
      <c r="I24" s="28"/>
      <c r="J24" s="28"/>
      <c r="K24" s="28"/>
      <c r="L24" s="28"/>
      <c r="M24" s="37"/>
      <c r="N24" s="37"/>
      <c r="O24" s="10"/>
    </row>
    <row r="25" spans="1:15">
      <c r="A25" s="3" t="s">
        <v>212</v>
      </c>
      <c r="B25" s="35"/>
      <c r="C25" s="35" t="str">
        <f t="shared" ref="C25:K25" si="9">IF(OR(C24="",B24="",B24=0),"",C24/B24-1)</f>
        <v/>
      </c>
      <c r="D25" s="35" t="str">
        <f t="shared" si="9"/>
        <v/>
      </c>
      <c r="E25" s="35" t="str">
        <f t="shared" si="9"/>
        <v/>
      </c>
      <c r="F25" s="35" t="str">
        <f t="shared" si="9"/>
        <v/>
      </c>
      <c r="G25" s="35" t="str">
        <f t="shared" si="9"/>
        <v/>
      </c>
      <c r="H25" s="35" t="str">
        <f t="shared" si="9"/>
        <v/>
      </c>
      <c r="I25" s="35" t="str">
        <f t="shared" si="9"/>
        <v/>
      </c>
      <c r="J25" s="35" t="str">
        <f t="shared" si="9"/>
        <v/>
      </c>
      <c r="K25" s="35" t="str">
        <f t="shared" si="9"/>
        <v/>
      </c>
      <c r="L25" s="35"/>
      <c r="M25" s="35" t="str">
        <f>IF(COUNT(G25:K25)=0,"",AVERAGE(G25:K25))</f>
        <v/>
      </c>
      <c r="N25" s="35" t="str">
        <f>IF(COUNT(B25:K25)=0,"",AVERAGE(B25:K25))</f>
        <v/>
      </c>
      <c r="O25" s="10"/>
    </row>
    <row r="26" spans="1:15">
      <c r="A26" s="3" t="s">
        <v>213</v>
      </c>
      <c r="B26" s="39" t="str">
        <f t="shared" ref="B26:K26" si="10">IF(OR(B10="",B24="",B24=0),"",B10/B24)</f>
        <v/>
      </c>
      <c r="C26" s="39" t="str">
        <f t="shared" si="10"/>
        <v/>
      </c>
      <c r="D26" s="39" t="str">
        <f t="shared" si="10"/>
        <v/>
      </c>
      <c r="E26" s="39" t="str">
        <f t="shared" si="10"/>
        <v/>
      </c>
      <c r="F26" s="39" t="str">
        <f t="shared" si="10"/>
        <v/>
      </c>
      <c r="G26" s="39" t="str">
        <f t="shared" si="10"/>
        <v/>
      </c>
      <c r="H26" s="39" t="str">
        <f t="shared" si="10"/>
        <v/>
      </c>
      <c r="I26" s="39" t="str">
        <f t="shared" si="10"/>
        <v/>
      </c>
      <c r="J26" s="39" t="str">
        <f t="shared" si="10"/>
        <v/>
      </c>
      <c r="K26" s="39" t="str">
        <f t="shared" si="10"/>
        <v/>
      </c>
      <c r="L26" s="39"/>
      <c r="M26" s="39"/>
      <c r="N26" s="39"/>
      <c r="O26" s="10"/>
    </row>
    <row r="27" spans="1:15">
      <c r="A27" s="9" t="s">
        <v>214</v>
      </c>
      <c r="B27" s="40"/>
      <c r="C27" s="40"/>
      <c r="D27" s="40"/>
      <c r="E27" s="40"/>
      <c r="F27" s="40"/>
      <c r="G27" s="40"/>
      <c r="H27" s="40"/>
      <c r="I27" s="40"/>
      <c r="J27" s="40"/>
      <c r="K27" s="40"/>
      <c r="L27" s="40"/>
      <c r="M27" s="39"/>
      <c r="N27" s="39"/>
      <c r="O27" s="10"/>
    </row>
    <row r="28" spans="1:15">
      <c r="A28" s="9" t="s">
        <v>97</v>
      </c>
      <c r="B28" s="28"/>
      <c r="C28" s="28"/>
      <c r="D28" s="28"/>
      <c r="E28" s="28"/>
      <c r="F28" s="28"/>
      <c r="G28" s="28"/>
      <c r="H28" s="28"/>
      <c r="I28" s="28"/>
      <c r="J28" s="28"/>
      <c r="K28" s="28"/>
      <c r="L28" s="28"/>
      <c r="M28" s="37"/>
      <c r="N28" s="37"/>
      <c r="O28" s="10"/>
    </row>
    <row r="29" spans="1:15">
      <c r="A29" s="9" t="s">
        <v>132</v>
      </c>
      <c r="B29" s="28"/>
      <c r="C29" s="28"/>
      <c r="D29" s="28"/>
      <c r="E29" s="28"/>
      <c r="F29" s="28"/>
      <c r="G29" s="28"/>
      <c r="H29" s="28"/>
      <c r="I29" s="28"/>
      <c r="J29" s="28"/>
      <c r="K29" s="28"/>
      <c r="L29" s="28"/>
      <c r="M29" s="37"/>
      <c r="N29" s="37"/>
      <c r="O29" s="10"/>
    </row>
    <row r="30" spans="1:15">
      <c r="A30" s="9" t="s">
        <v>215</v>
      </c>
      <c r="B30" s="28"/>
      <c r="C30" s="28"/>
      <c r="D30" s="28"/>
      <c r="E30" s="28"/>
      <c r="F30" s="28"/>
      <c r="G30" s="28"/>
      <c r="H30" s="28"/>
      <c r="I30" s="28"/>
      <c r="J30" s="28"/>
      <c r="K30" s="28"/>
      <c r="L30" s="28"/>
      <c r="M30" s="37"/>
      <c r="N30" s="37"/>
      <c r="O30" s="10"/>
    </row>
    <row r="31" spans="1:15">
      <c r="A31" s="3" t="s">
        <v>158</v>
      </c>
      <c r="B31" s="37" t="str">
        <f t="shared" ref="B31:K31" si="11">IF(OR(B29="",B28=""),"",B29-B28)</f>
        <v/>
      </c>
      <c r="C31" s="37" t="str">
        <f t="shared" si="11"/>
        <v/>
      </c>
      <c r="D31" s="37" t="str">
        <f t="shared" si="11"/>
        <v/>
      </c>
      <c r="E31" s="37" t="str">
        <f t="shared" si="11"/>
        <v/>
      </c>
      <c r="F31" s="37" t="str">
        <f t="shared" si="11"/>
        <v/>
      </c>
      <c r="G31" s="37" t="str">
        <f t="shared" si="11"/>
        <v/>
      </c>
      <c r="H31" s="37" t="str">
        <f t="shared" si="11"/>
        <v/>
      </c>
      <c r="I31" s="37" t="str">
        <f t="shared" si="11"/>
        <v/>
      </c>
      <c r="J31" s="37" t="str">
        <f t="shared" si="11"/>
        <v/>
      </c>
      <c r="K31" s="37" t="str">
        <f t="shared" si="11"/>
        <v/>
      </c>
      <c r="L31" s="37"/>
      <c r="M31" s="37"/>
      <c r="N31" s="37"/>
      <c r="O31" s="10"/>
    </row>
    <row r="32" spans="1:15">
      <c r="A32" s="9" t="s">
        <v>216</v>
      </c>
      <c r="B32" s="28"/>
      <c r="C32" s="28"/>
      <c r="D32" s="28"/>
      <c r="E32" s="28"/>
      <c r="F32" s="28"/>
      <c r="G32" s="28"/>
      <c r="H32" s="28"/>
      <c r="I32" s="28"/>
      <c r="J32" s="28"/>
      <c r="K32" s="28"/>
      <c r="L32" s="28"/>
      <c r="M32" s="37"/>
      <c r="N32" s="37"/>
      <c r="O32" s="10"/>
    </row>
    <row r="33" spans="1:15">
      <c r="A33" s="3" t="s">
        <v>217</v>
      </c>
      <c r="B33" s="35" t="str">
        <f t="shared" ref="B33:K33" si="12">IF(OR(B10="",B32="",B32=0),"",B10/B32)</f>
        <v/>
      </c>
      <c r="C33" s="35" t="str">
        <f t="shared" si="12"/>
        <v/>
      </c>
      <c r="D33" s="35" t="str">
        <f t="shared" si="12"/>
        <v/>
      </c>
      <c r="E33" s="35" t="str">
        <f t="shared" si="12"/>
        <v/>
      </c>
      <c r="F33" s="35" t="str">
        <f t="shared" si="12"/>
        <v/>
      </c>
      <c r="G33" s="35" t="str">
        <f t="shared" si="12"/>
        <v/>
      </c>
      <c r="H33" s="35" t="str">
        <f t="shared" si="12"/>
        <v/>
      </c>
      <c r="I33" s="35" t="str">
        <f t="shared" si="12"/>
        <v/>
      </c>
      <c r="J33" s="35" t="str">
        <f t="shared" si="12"/>
        <v/>
      </c>
      <c r="K33" s="35" t="str">
        <f t="shared" si="12"/>
        <v/>
      </c>
      <c r="L33" s="35"/>
      <c r="M33" s="35" t="str">
        <f>IF(COUNT(G33:K33)=0,"",AVERAGE(G33:K33))</f>
        <v/>
      </c>
      <c r="N33" s="35" t="str">
        <f>IF(COUNT(B33:K33)=0,"",AVERAGE(B33:K33))</f>
        <v/>
      </c>
      <c r="O33" s="10"/>
    </row>
    <row r="34" spans="1:15" ht="25.5">
      <c r="A34" s="9" t="s">
        <v>218</v>
      </c>
      <c r="B34" s="40"/>
      <c r="C34" s="40"/>
      <c r="D34" s="40"/>
      <c r="E34" s="40"/>
      <c r="F34" s="40"/>
      <c r="G34" s="40"/>
      <c r="H34" s="40"/>
      <c r="I34" s="40"/>
      <c r="J34" s="40"/>
      <c r="K34" s="40"/>
      <c r="L34" s="40"/>
      <c r="M34" s="39"/>
      <c r="N34" s="39"/>
      <c r="O34" s="10"/>
    </row>
    <row r="35" spans="1:15">
      <c r="A35" s="3" t="s">
        <v>219</v>
      </c>
      <c r="B35" s="38" t="str">
        <f t="shared" ref="B35:K35" si="13">IF(OR(B34="",B26="",B26&lt;=0),"",B34/B26)</f>
        <v/>
      </c>
      <c r="C35" s="38" t="str">
        <f t="shared" si="13"/>
        <v/>
      </c>
      <c r="D35" s="38" t="str">
        <f t="shared" si="13"/>
        <v/>
      </c>
      <c r="E35" s="38" t="str">
        <f t="shared" si="13"/>
        <v/>
      </c>
      <c r="F35" s="38" t="str">
        <f t="shared" si="13"/>
        <v/>
      </c>
      <c r="G35" s="38" t="str">
        <f t="shared" si="13"/>
        <v/>
      </c>
      <c r="H35" s="38" t="str">
        <f t="shared" si="13"/>
        <v/>
      </c>
      <c r="I35" s="38" t="str">
        <f t="shared" si="13"/>
        <v/>
      </c>
      <c r="J35" s="38" t="str">
        <f t="shared" si="13"/>
        <v/>
      </c>
      <c r="K35" s="38" t="str">
        <f t="shared" si="13"/>
        <v/>
      </c>
      <c r="L35" s="38"/>
      <c r="M35" s="38" t="str">
        <f>IF(COUNT(G35:K35)=0,"",AVERAGE(G35:K35))</f>
        <v/>
      </c>
      <c r="N35" s="38" t="str">
        <f>IF(COUNT(B35:K35)=0,"",AVERAGE(B35:K35))</f>
        <v/>
      </c>
      <c r="O35" s="10"/>
    </row>
    <row r="36" spans="1:15">
      <c r="A36" s="3" t="s">
        <v>160</v>
      </c>
      <c r="B36" s="38" t="str">
        <f t="shared" ref="B36:K36" si="14">IF(OR(B31="",B7="",B7&lt;=0),"",B31/B7)</f>
        <v/>
      </c>
      <c r="C36" s="38" t="str">
        <f t="shared" si="14"/>
        <v/>
      </c>
      <c r="D36" s="38" t="str">
        <f t="shared" si="14"/>
        <v/>
      </c>
      <c r="E36" s="38" t="str">
        <f t="shared" si="14"/>
        <v/>
      </c>
      <c r="F36" s="38" t="str">
        <f t="shared" si="14"/>
        <v/>
      </c>
      <c r="G36" s="38" t="str">
        <f t="shared" si="14"/>
        <v/>
      </c>
      <c r="H36" s="38" t="str">
        <f t="shared" si="14"/>
        <v/>
      </c>
      <c r="I36" s="38" t="str">
        <f t="shared" si="14"/>
        <v/>
      </c>
      <c r="J36" s="38" t="str">
        <f t="shared" si="14"/>
        <v/>
      </c>
      <c r="K36" s="38" t="str">
        <f t="shared" si="14"/>
        <v/>
      </c>
      <c r="L36" s="38"/>
      <c r="M36" s="38" t="str">
        <f>IF(COUNT(G36:K36)=0,"",AVERAGE(G36:K36))</f>
        <v/>
      </c>
      <c r="N36" s="38" t="str">
        <f>IF(COUNT(B36:K36)=0,"",AVERAGE(B36:K36))</f>
        <v/>
      </c>
      <c r="O36" s="10"/>
    </row>
    <row r="38" spans="1:15">
      <c r="A38" s="2" t="s">
        <v>220</v>
      </c>
    </row>
    <row r="39" spans="1:15" ht="32.1" customHeight="1">
      <c r="A39" s="24" t="s">
        <v>93</v>
      </c>
      <c r="B39" s="68" t="s">
        <v>221</v>
      </c>
      <c r="C39" s="68" t="s">
        <v>222</v>
      </c>
      <c r="D39" s="68" t="s">
        <v>223</v>
      </c>
      <c r="E39" s="68" t="s">
        <v>224</v>
      </c>
      <c r="F39" s="68" t="s">
        <v>225</v>
      </c>
      <c r="G39" s="68" t="s">
        <v>226</v>
      </c>
      <c r="H39" s="68" t="s">
        <v>227</v>
      </c>
      <c r="I39" s="68" t="s">
        <v>228</v>
      </c>
      <c r="J39" s="67" t="s">
        <v>532</v>
      </c>
      <c r="K39" s="24"/>
      <c r="L39" s="24"/>
      <c r="M39" s="24"/>
      <c r="N39" s="24"/>
      <c r="O39" s="24" t="s">
        <v>96</v>
      </c>
    </row>
    <row r="40" spans="1:15">
      <c r="A40" s="30" t="s">
        <v>229</v>
      </c>
      <c r="B40" s="69" t="s">
        <v>531</v>
      </c>
      <c r="C40" s="69" t="s">
        <v>530</v>
      </c>
      <c r="D40" s="69" t="s">
        <v>529</v>
      </c>
      <c r="E40" s="69" t="s">
        <v>528</v>
      </c>
      <c r="F40" s="69" t="s">
        <v>527</v>
      </c>
      <c r="G40" s="69" t="s">
        <v>526</v>
      </c>
      <c r="H40" s="69" t="s">
        <v>525</v>
      </c>
      <c r="I40" s="69" t="s">
        <v>522</v>
      </c>
      <c r="J40" s="70" t="s">
        <v>524</v>
      </c>
    </row>
    <row r="41" spans="1:15">
      <c r="A41" s="9" t="s">
        <v>190</v>
      </c>
      <c r="B41" s="28"/>
      <c r="C41" s="28"/>
      <c r="D41" s="28"/>
      <c r="E41" s="28"/>
      <c r="F41" s="28"/>
      <c r="G41" s="28"/>
      <c r="H41" s="28"/>
      <c r="I41" s="28"/>
      <c r="O41" s="10"/>
    </row>
    <row r="42" spans="1:15">
      <c r="A42" s="3" t="s">
        <v>230</v>
      </c>
      <c r="B42" s="35"/>
      <c r="C42" s="35"/>
      <c r="D42" s="35"/>
      <c r="E42" s="35"/>
      <c r="F42" s="35" t="str">
        <f>IF(OR(F41="",B41="",B41=0),"",F41/B41-1)</f>
        <v/>
      </c>
      <c r="G42" s="35" t="str">
        <f>IF(OR(G41="",C41="",C41=0),"",G41/C41-1)</f>
        <v/>
      </c>
      <c r="H42" s="35" t="str">
        <f>IF(OR(H41="",D41="",D41=0),"",H41/D41-1)</f>
        <v/>
      </c>
      <c r="I42" s="35" t="str">
        <f>IF(OR(I41="",E41="",E41=0),"",I41/E41-1)</f>
        <v/>
      </c>
      <c r="O42" s="10"/>
    </row>
    <row r="43" spans="1:15">
      <c r="A43" s="9" t="s">
        <v>231</v>
      </c>
      <c r="B43" s="28"/>
      <c r="C43" s="28"/>
      <c r="D43" s="28"/>
      <c r="E43" s="28"/>
      <c r="F43" s="28"/>
      <c r="G43" s="28"/>
      <c r="H43" s="28"/>
      <c r="I43" s="28"/>
      <c r="O43" s="10"/>
    </row>
    <row r="44" spans="1:15">
      <c r="A44" s="3" t="s">
        <v>198</v>
      </c>
      <c r="B44" s="35" t="str">
        <f t="shared" ref="B44:I44" si="15">IF(OR(B43="",B41="",B41=0),"",B43/B41)</f>
        <v/>
      </c>
      <c r="C44" s="35" t="str">
        <f t="shared" si="15"/>
        <v/>
      </c>
      <c r="D44" s="35" t="str">
        <f t="shared" si="15"/>
        <v/>
      </c>
      <c r="E44" s="35" t="str">
        <f t="shared" si="15"/>
        <v/>
      </c>
      <c r="F44" s="35" t="str">
        <f t="shared" si="15"/>
        <v/>
      </c>
      <c r="G44" s="35" t="str">
        <f t="shared" si="15"/>
        <v/>
      </c>
      <c r="H44" s="35" t="str">
        <f t="shared" si="15"/>
        <v/>
      </c>
      <c r="I44" s="35" t="str">
        <f t="shared" si="15"/>
        <v/>
      </c>
      <c r="O44" s="10"/>
    </row>
    <row r="45" spans="1:15">
      <c r="A45" s="9" t="s">
        <v>232</v>
      </c>
      <c r="B45" s="28"/>
      <c r="C45" s="28"/>
      <c r="D45" s="28"/>
      <c r="E45" s="28"/>
      <c r="F45" s="28"/>
      <c r="G45" s="28"/>
      <c r="H45" s="28"/>
      <c r="I45" s="28"/>
      <c r="O45" s="10"/>
    </row>
    <row r="46" spans="1:15">
      <c r="A46" s="9" t="s">
        <v>233</v>
      </c>
      <c r="B46" s="28"/>
      <c r="C46" s="28"/>
      <c r="D46" s="28"/>
      <c r="E46" s="28"/>
      <c r="F46" s="28"/>
      <c r="G46" s="28"/>
      <c r="H46" s="28"/>
      <c r="I46" s="28"/>
      <c r="O46" s="10"/>
    </row>
    <row r="47" spans="1:15" ht="75" customHeight="1">
      <c r="A47" s="9" t="s">
        <v>234</v>
      </c>
      <c r="B47" s="10"/>
      <c r="C47" s="10"/>
      <c r="D47" s="10"/>
      <c r="E47" s="10"/>
      <c r="F47" s="10"/>
      <c r="G47" s="10"/>
      <c r="H47" s="10"/>
      <c r="I47" s="10"/>
      <c r="O47" s="10"/>
    </row>
    <row r="48" spans="1:15">
      <c r="A48" s="26" t="s">
        <v>235</v>
      </c>
    </row>
  </sheetData>
  <phoneticPr fontId="11" type="noConversion"/>
  <pageMargins left="0.75" right="0.75" top="1" bottom="1" header="0.5" footer="0.5"/>
  <ignoredErrors>
    <ignoredError sqref="M4:N4 M5:N5"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91"/>
  <sheetViews>
    <sheetView workbookViewId="0">
      <pane xSplit="1" ySplit="2" topLeftCell="B3" activePane="bottomRight" state="frozen"/>
      <selection pane="topRight"/>
      <selection pane="bottomLeft"/>
      <selection pane="bottomRight" activeCell="I4" sqref="I4"/>
    </sheetView>
  </sheetViews>
  <sheetFormatPr defaultRowHeight="15"/>
  <cols>
    <col min="1" max="1" width="50" customWidth="1"/>
    <col min="2" max="13" width="11" customWidth="1"/>
    <col min="14" max="14" width="56" customWidth="1"/>
  </cols>
  <sheetData>
    <row r="1" spans="1:14" ht="17.25" customHeight="1">
      <c r="A1" s="24"/>
      <c r="B1" s="24">
        <v>0</v>
      </c>
      <c r="C1" s="24">
        <v>1</v>
      </c>
      <c r="D1" s="24">
        <v>2</v>
      </c>
      <c r="E1" s="24">
        <v>3</v>
      </c>
      <c r="F1" s="24">
        <v>4</v>
      </c>
      <c r="G1" s="24">
        <v>5</v>
      </c>
      <c r="H1" s="24">
        <v>6</v>
      </c>
      <c r="I1" s="24">
        <v>7</v>
      </c>
      <c r="J1" s="24">
        <v>8</v>
      </c>
      <c r="K1" s="24">
        <v>9</v>
      </c>
      <c r="L1" s="24">
        <v>10</v>
      </c>
      <c r="M1" s="24">
        <v>11</v>
      </c>
      <c r="N1" s="24"/>
    </row>
    <row r="2" spans="1:14" ht="32.1" customHeight="1">
      <c r="A2" s="24" t="s">
        <v>236</v>
      </c>
      <c r="B2" s="24">
        <v>2026</v>
      </c>
      <c r="C2" s="24">
        <v>2027</v>
      </c>
      <c r="D2" s="24">
        <v>2028</v>
      </c>
      <c r="E2" s="24">
        <v>2029</v>
      </c>
      <c r="F2" s="24">
        <v>2030</v>
      </c>
      <c r="G2" s="24">
        <v>2031</v>
      </c>
      <c r="H2" s="24">
        <v>2032</v>
      </c>
      <c r="I2" s="24">
        <v>2033</v>
      </c>
      <c r="J2" s="24">
        <v>2034</v>
      </c>
      <c r="K2" s="24">
        <v>2035</v>
      </c>
      <c r="L2" s="24">
        <v>2036</v>
      </c>
      <c r="M2" s="24">
        <v>2037</v>
      </c>
      <c r="N2" s="24" t="s">
        <v>238</v>
      </c>
    </row>
    <row r="4" spans="1:14" ht="30.75" customHeight="1">
      <c r="A4" s="71" t="s">
        <v>239</v>
      </c>
      <c r="N4" s="8" t="s">
        <v>240</v>
      </c>
    </row>
    <row r="5" spans="1:14" ht="38.25">
      <c r="A5" s="9" t="s">
        <v>241</v>
      </c>
      <c r="B5" s="34">
        <v>0.25</v>
      </c>
      <c r="N5" s="11" t="s">
        <v>242</v>
      </c>
    </row>
    <row r="6" spans="1:14" ht="25.5">
      <c r="A6" s="9" t="s">
        <v>243</v>
      </c>
      <c r="B6" s="35"/>
      <c r="C6" s="34"/>
      <c r="D6" s="34"/>
      <c r="E6" s="34"/>
      <c r="F6" s="34"/>
      <c r="G6" s="34"/>
      <c r="H6" s="34"/>
      <c r="I6" s="34"/>
      <c r="J6" s="34"/>
      <c r="K6" s="34"/>
      <c r="L6" s="34"/>
      <c r="M6" s="34"/>
      <c r="N6" s="11" t="s">
        <v>244</v>
      </c>
    </row>
    <row r="7" spans="1:14" ht="25.5">
      <c r="A7" s="10" t="s">
        <v>245</v>
      </c>
      <c r="B7" s="28"/>
      <c r="C7" s="28"/>
      <c r="D7" s="28"/>
      <c r="E7" s="28"/>
      <c r="F7" s="28"/>
      <c r="G7" s="28"/>
      <c r="H7" s="28"/>
      <c r="I7" s="28"/>
      <c r="J7" s="28"/>
      <c r="K7" s="28"/>
      <c r="L7" s="28"/>
      <c r="M7" s="28"/>
      <c r="N7" s="11" t="s">
        <v>246</v>
      </c>
    </row>
    <row r="8" spans="1:14">
      <c r="A8" s="10" t="s">
        <v>247</v>
      </c>
      <c r="B8" s="28"/>
      <c r="C8" s="28"/>
      <c r="D8" s="28"/>
      <c r="E8" s="28"/>
      <c r="F8" s="28"/>
      <c r="G8" s="28"/>
      <c r="H8" s="28"/>
      <c r="I8" s="28"/>
      <c r="J8" s="28"/>
      <c r="K8" s="28"/>
      <c r="L8" s="28"/>
      <c r="M8" s="28"/>
      <c r="N8" s="11" t="s">
        <v>248</v>
      </c>
    </row>
    <row r="9" spans="1:14" ht="25.5">
      <c r="A9" s="10" t="s">
        <v>249</v>
      </c>
      <c r="B9" s="28"/>
      <c r="C9" s="28"/>
      <c r="D9" s="28"/>
      <c r="E9" s="28"/>
      <c r="F9" s="28"/>
      <c r="G9" s="28"/>
      <c r="H9" s="28"/>
      <c r="I9" s="28"/>
      <c r="J9" s="28"/>
      <c r="K9" s="28"/>
      <c r="L9" s="28"/>
      <c r="M9" s="28"/>
      <c r="N9" s="11" t="s">
        <v>250</v>
      </c>
    </row>
    <row r="10" spans="1:14" ht="25.5">
      <c r="A10" s="3" t="s">
        <v>251</v>
      </c>
      <c r="B10" s="37" t="str">
        <f t="shared" ref="B10:M10" si="0">IF(COUNT(B7:B9)&lt;3,"",PRODUCT(B7:B9))</f>
        <v/>
      </c>
      <c r="C10" s="37" t="str">
        <f t="shared" si="0"/>
        <v/>
      </c>
      <c r="D10" s="37" t="str">
        <f t="shared" si="0"/>
        <v/>
      </c>
      <c r="E10" s="37" t="str">
        <f t="shared" si="0"/>
        <v/>
      </c>
      <c r="F10" s="37" t="str">
        <f t="shared" si="0"/>
        <v/>
      </c>
      <c r="G10" s="37" t="str">
        <f t="shared" si="0"/>
        <v/>
      </c>
      <c r="H10" s="37" t="str">
        <f t="shared" si="0"/>
        <v/>
      </c>
      <c r="I10" s="37" t="str">
        <f t="shared" si="0"/>
        <v/>
      </c>
      <c r="J10" s="37" t="str">
        <f t="shared" si="0"/>
        <v/>
      </c>
      <c r="K10" s="37" t="str">
        <f t="shared" si="0"/>
        <v/>
      </c>
      <c r="L10" s="37" t="str">
        <f t="shared" si="0"/>
        <v/>
      </c>
      <c r="M10" s="37" t="str">
        <f t="shared" si="0"/>
        <v/>
      </c>
      <c r="N10" s="11" t="s">
        <v>252</v>
      </c>
    </row>
    <row r="11" spans="1:14" ht="25.5">
      <c r="A11" s="3" t="s">
        <v>253</v>
      </c>
      <c r="B11" s="37" t="str">
        <f>IF(Invoer!$B$24="","",Invoer!$B$24)</f>
        <v/>
      </c>
      <c r="C11" s="37" t="str">
        <f t="shared" ref="C11:M11" si="1">IF(C10&lt;&gt;"",C10,IF(OR(B11="",C6=""),"",B11*(1+C6)))</f>
        <v/>
      </c>
      <c r="D11" s="37" t="str">
        <f t="shared" si="1"/>
        <v/>
      </c>
      <c r="E11" s="37" t="str">
        <f t="shared" si="1"/>
        <v/>
      </c>
      <c r="F11" s="37" t="str">
        <f t="shared" si="1"/>
        <v/>
      </c>
      <c r="G11" s="37" t="str">
        <f t="shared" si="1"/>
        <v/>
      </c>
      <c r="H11" s="37" t="str">
        <f t="shared" si="1"/>
        <v/>
      </c>
      <c r="I11" s="37" t="str">
        <f t="shared" si="1"/>
        <v/>
      </c>
      <c r="J11" s="37" t="str">
        <f t="shared" si="1"/>
        <v/>
      </c>
      <c r="K11" s="37" t="str">
        <f t="shared" si="1"/>
        <v/>
      </c>
      <c r="L11" s="37" t="str">
        <f t="shared" si="1"/>
        <v/>
      </c>
      <c r="M11" s="37" t="str">
        <f t="shared" si="1"/>
        <v/>
      </c>
      <c r="N11" s="11" t="s">
        <v>254</v>
      </c>
    </row>
    <row r="12" spans="1:14" ht="25.5">
      <c r="A12" s="9" t="s">
        <v>198</v>
      </c>
      <c r="B12" s="35" t="str">
        <f>IF(Invoer!$B$27="","",Invoer!$B$27)</f>
        <v/>
      </c>
      <c r="C12" s="34"/>
      <c r="D12" s="34"/>
      <c r="E12" s="34"/>
      <c r="F12" s="34"/>
      <c r="G12" s="34"/>
      <c r="H12" s="34"/>
      <c r="I12" s="34"/>
      <c r="J12" s="34"/>
      <c r="K12" s="34"/>
      <c r="L12" s="34"/>
      <c r="M12" s="34"/>
      <c r="N12" s="11" t="s">
        <v>255</v>
      </c>
    </row>
    <row r="13" spans="1:14">
      <c r="A13" s="3" t="s">
        <v>231</v>
      </c>
      <c r="B13" s="37" t="str">
        <f>IF(Invoer!$B$25="","",Invoer!$B$25)</f>
        <v/>
      </c>
      <c r="C13" s="37" t="str">
        <f t="shared" ref="C13:M13" si="2">IF(OR(C11="",C12=""),"",C11*C12)</f>
        <v/>
      </c>
      <c r="D13" s="37" t="str">
        <f t="shared" si="2"/>
        <v/>
      </c>
      <c r="E13" s="37" t="str">
        <f t="shared" si="2"/>
        <v/>
      </c>
      <c r="F13" s="37" t="str">
        <f t="shared" si="2"/>
        <v/>
      </c>
      <c r="G13" s="37" t="str">
        <f t="shared" si="2"/>
        <v/>
      </c>
      <c r="H13" s="37" t="str">
        <f t="shared" si="2"/>
        <v/>
      </c>
      <c r="I13" s="37" t="str">
        <f t="shared" si="2"/>
        <v/>
      </c>
      <c r="J13" s="37" t="str">
        <f t="shared" si="2"/>
        <v/>
      </c>
      <c r="K13" s="37" t="str">
        <f t="shared" si="2"/>
        <v/>
      </c>
      <c r="L13" s="37" t="str">
        <f t="shared" si="2"/>
        <v/>
      </c>
      <c r="M13" s="37" t="str">
        <f t="shared" si="2"/>
        <v/>
      </c>
      <c r="N13" s="10"/>
    </row>
    <row r="14" spans="1:14" ht="25.5">
      <c r="A14" s="9" t="s">
        <v>256</v>
      </c>
      <c r="B14" s="38" t="str">
        <f>IF(Invoer!$B$28="","",Invoer!$B$28)</f>
        <v/>
      </c>
      <c r="C14" s="41"/>
      <c r="D14" s="41"/>
      <c r="E14" s="41"/>
      <c r="F14" s="41"/>
      <c r="G14" s="41"/>
      <c r="H14" s="41"/>
      <c r="I14" s="41"/>
      <c r="J14" s="41"/>
      <c r="K14" s="41"/>
      <c r="L14" s="41"/>
      <c r="M14" s="41"/>
      <c r="N14" s="11" t="s">
        <v>257</v>
      </c>
    </row>
    <row r="15" spans="1:14">
      <c r="A15" s="3" t="s">
        <v>258</v>
      </c>
      <c r="B15" s="37" t="str">
        <f>IF(Invoer!$B$26="","",Invoer!$B$26)</f>
        <v/>
      </c>
      <c r="C15" s="37" t="str">
        <f t="shared" ref="C15:M15" si="3">IF(OR(C13="",C14=""),"",C13*C14)</f>
        <v/>
      </c>
      <c r="D15" s="37" t="str">
        <f t="shared" si="3"/>
        <v/>
      </c>
      <c r="E15" s="37" t="str">
        <f t="shared" si="3"/>
        <v/>
      </c>
      <c r="F15" s="37" t="str">
        <f t="shared" si="3"/>
        <v/>
      </c>
      <c r="G15" s="37" t="str">
        <f t="shared" si="3"/>
        <v/>
      </c>
      <c r="H15" s="37" t="str">
        <f t="shared" si="3"/>
        <v/>
      </c>
      <c r="I15" s="37" t="str">
        <f t="shared" si="3"/>
        <v/>
      </c>
      <c r="J15" s="37" t="str">
        <f t="shared" si="3"/>
        <v/>
      </c>
      <c r="K15" s="37" t="str">
        <f t="shared" si="3"/>
        <v/>
      </c>
      <c r="L15" s="37" t="str">
        <f t="shared" si="3"/>
        <v/>
      </c>
      <c r="M15" s="37" t="str">
        <f t="shared" si="3"/>
        <v/>
      </c>
      <c r="N15" s="10"/>
    </row>
    <row r="16" spans="1:14" ht="25.5">
      <c r="A16" s="9" t="s">
        <v>259</v>
      </c>
      <c r="B16" s="35"/>
      <c r="C16" s="34"/>
      <c r="D16" s="34"/>
      <c r="E16" s="34"/>
      <c r="F16" s="34"/>
      <c r="G16" s="34"/>
      <c r="H16" s="34"/>
      <c r="I16" s="34"/>
      <c r="J16" s="34"/>
      <c r="K16" s="34"/>
      <c r="L16" s="34"/>
      <c r="M16" s="34"/>
      <c r="N16" s="11" t="s">
        <v>260</v>
      </c>
    </row>
    <row r="17" spans="1:14">
      <c r="A17" s="3" t="s">
        <v>261</v>
      </c>
      <c r="B17" s="37" t="str">
        <f>IF(Invoer!$B$19="","",Invoer!$B$19)</f>
        <v/>
      </c>
      <c r="C17" s="37" t="str">
        <f t="shared" ref="C17:M17" si="4">IF(OR(B17="",C16=""),"",B17*(1+C16))</f>
        <v/>
      </c>
      <c r="D17" s="37" t="str">
        <f t="shared" si="4"/>
        <v/>
      </c>
      <c r="E17" s="37" t="str">
        <f t="shared" si="4"/>
        <v/>
      </c>
      <c r="F17" s="37" t="str">
        <f t="shared" si="4"/>
        <v/>
      </c>
      <c r="G17" s="37" t="str">
        <f t="shared" si="4"/>
        <v/>
      </c>
      <c r="H17" s="37" t="str">
        <f t="shared" si="4"/>
        <v/>
      </c>
      <c r="I17" s="37" t="str">
        <f t="shared" si="4"/>
        <v/>
      </c>
      <c r="J17" s="37" t="str">
        <f t="shared" si="4"/>
        <v/>
      </c>
      <c r="K17" s="37" t="str">
        <f t="shared" si="4"/>
        <v/>
      </c>
      <c r="L17" s="37" t="str">
        <f t="shared" si="4"/>
        <v/>
      </c>
      <c r="M17" s="37" t="str">
        <f t="shared" si="4"/>
        <v/>
      </c>
      <c r="N17" s="10"/>
    </row>
    <row r="18" spans="1:14">
      <c r="A18" s="3" t="s">
        <v>262</v>
      </c>
      <c r="B18" s="39" t="str">
        <f>IF(Invoer!$B$29="","",Invoer!$B$29)</f>
        <v/>
      </c>
      <c r="C18" s="39" t="str">
        <f t="shared" ref="C18:M18" si="5">IF(OR(C13="",C17="",C17=0),"",C13/C17)</f>
        <v/>
      </c>
      <c r="D18" s="39" t="str">
        <f t="shared" si="5"/>
        <v/>
      </c>
      <c r="E18" s="39" t="str">
        <f t="shared" si="5"/>
        <v/>
      </c>
      <c r="F18" s="39" t="str">
        <f t="shared" si="5"/>
        <v/>
      </c>
      <c r="G18" s="39" t="str">
        <f t="shared" si="5"/>
        <v/>
      </c>
      <c r="H18" s="39" t="str">
        <f t="shared" si="5"/>
        <v/>
      </c>
      <c r="I18" s="39" t="str">
        <f t="shared" si="5"/>
        <v/>
      </c>
      <c r="J18" s="39" t="str">
        <f t="shared" si="5"/>
        <v/>
      </c>
      <c r="K18" s="39" t="str">
        <f t="shared" si="5"/>
        <v/>
      </c>
      <c r="L18" s="39" t="str">
        <f t="shared" si="5"/>
        <v/>
      </c>
      <c r="M18" s="39" t="str">
        <f t="shared" si="5"/>
        <v/>
      </c>
      <c r="N18" s="10"/>
    </row>
    <row r="19" spans="1:14">
      <c r="A19" s="3" t="s">
        <v>263</v>
      </c>
      <c r="B19" s="39" t="str">
        <f t="shared" ref="B19:M19" si="6">IF(OR(B15="",B17="",B17=0),"",B15/B17)</f>
        <v/>
      </c>
      <c r="C19" s="39" t="str">
        <f t="shared" si="6"/>
        <v/>
      </c>
      <c r="D19" s="39" t="str">
        <f t="shared" si="6"/>
        <v/>
      </c>
      <c r="E19" s="39" t="str">
        <f t="shared" si="6"/>
        <v/>
      </c>
      <c r="F19" s="39" t="str">
        <f t="shared" si="6"/>
        <v/>
      </c>
      <c r="G19" s="39" t="str">
        <f t="shared" si="6"/>
        <v/>
      </c>
      <c r="H19" s="39" t="str">
        <f t="shared" si="6"/>
        <v/>
      </c>
      <c r="I19" s="39" t="str">
        <f t="shared" si="6"/>
        <v/>
      </c>
      <c r="J19" s="39" t="str">
        <f t="shared" si="6"/>
        <v/>
      </c>
      <c r="K19" s="39" t="str">
        <f t="shared" si="6"/>
        <v/>
      </c>
      <c r="L19" s="39" t="str">
        <f t="shared" si="6"/>
        <v/>
      </c>
      <c r="M19" s="39" t="str">
        <f t="shared" si="6"/>
        <v/>
      </c>
      <c r="N19" s="10"/>
    </row>
    <row r="20" spans="1:14" ht="38.25">
      <c r="A20" s="9" t="s">
        <v>264</v>
      </c>
      <c r="B20" s="41"/>
      <c r="N20" s="11" t="s">
        <v>265</v>
      </c>
    </row>
    <row r="21" spans="1:14" ht="25.5">
      <c r="A21" s="9" t="s">
        <v>266</v>
      </c>
      <c r="B21" s="34">
        <v>0.1</v>
      </c>
      <c r="N21" s="11" t="s">
        <v>267</v>
      </c>
    </row>
    <row r="22" spans="1:14" ht="25.5">
      <c r="A22" s="9" t="s">
        <v>268</v>
      </c>
      <c r="B22" s="34">
        <v>2.5000000000000001E-2</v>
      </c>
      <c r="N22" s="11" t="s">
        <v>269</v>
      </c>
    </row>
    <row r="23" spans="1:14" ht="25.5">
      <c r="A23" s="3" t="s">
        <v>270</v>
      </c>
      <c r="B23" s="39" t="str">
        <f>IF(Invoer!$B$15="","",-Invoer!$B$15/Invoer!$B$9)</f>
        <v/>
      </c>
      <c r="C23" s="39" t="str">
        <f t="shared" ref="C23:L23" si="7">IF(C19="","",C19)</f>
        <v/>
      </c>
      <c r="D23" s="39" t="str">
        <f t="shared" si="7"/>
        <v/>
      </c>
      <c r="E23" s="39" t="str">
        <f t="shared" si="7"/>
        <v/>
      </c>
      <c r="F23" s="39" t="str">
        <f t="shared" si="7"/>
        <v/>
      </c>
      <c r="G23" s="39" t="str">
        <f t="shared" si="7"/>
        <v/>
      </c>
      <c r="H23" s="39" t="str">
        <f t="shared" si="7"/>
        <v/>
      </c>
      <c r="I23" s="39" t="str">
        <f t="shared" si="7"/>
        <v/>
      </c>
      <c r="J23" s="39" t="str">
        <f t="shared" si="7"/>
        <v/>
      </c>
      <c r="K23" s="39" t="str">
        <f t="shared" si="7"/>
        <v/>
      </c>
      <c r="L23" s="39" t="str">
        <f t="shared" si="7"/>
        <v/>
      </c>
      <c r="M23" s="39" t="str">
        <f>IF(OR(M19="",M18="",$B$20=""),"",M19+$B$20*M18)</f>
        <v/>
      </c>
      <c r="N23" s="11" t="s">
        <v>271</v>
      </c>
    </row>
    <row r="24" spans="1:14">
      <c r="A24" s="9" t="s">
        <v>272</v>
      </c>
      <c r="B24" s="35"/>
      <c r="C24" s="34"/>
      <c r="D24" s="34"/>
      <c r="E24" s="34"/>
      <c r="F24" s="34"/>
      <c r="G24" s="34"/>
      <c r="H24" s="34"/>
      <c r="I24" s="34"/>
      <c r="J24" s="34"/>
      <c r="K24" s="34"/>
      <c r="L24" s="34"/>
      <c r="M24" s="34"/>
      <c r="N24" s="11" t="s">
        <v>273</v>
      </c>
    </row>
    <row r="25" spans="1:14" ht="25.5">
      <c r="A25" s="9" t="s">
        <v>274</v>
      </c>
      <c r="B25" s="35"/>
      <c r="C25" s="34"/>
      <c r="D25" s="34"/>
      <c r="E25" s="34"/>
      <c r="F25" s="34"/>
      <c r="G25" s="34"/>
      <c r="H25" s="34"/>
      <c r="I25" s="34"/>
      <c r="J25" s="34"/>
      <c r="K25" s="34"/>
      <c r="L25" s="34"/>
      <c r="M25" s="34"/>
      <c r="N25" s="11" t="s">
        <v>275</v>
      </c>
    </row>
    <row r="26" spans="1:14" ht="25.5">
      <c r="A26" s="9" t="s">
        <v>276</v>
      </c>
      <c r="B26" s="35"/>
      <c r="C26" s="34"/>
      <c r="D26" s="34"/>
      <c r="E26" s="34"/>
      <c r="F26" s="34"/>
      <c r="G26" s="34"/>
      <c r="H26" s="34"/>
      <c r="I26" s="34"/>
      <c r="J26" s="34"/>
      <c r="K26" s="34"/>
      <c r="L26" s="34"/>
      <c r="M26" s="34"/>
      <c r="N26" s="11" t="s">
        <v>277</v>
      </c>
    </row>
    <row r="28" spans="1:14" ht="33" customHeight="1">
      <c r="A28" s="71" t="s">
        <v>278</v>
      </c>
      <c r="N28" s="8" t="s">
        <v>279</v>
      </c>
    </row>
    <row r="29" spans="1:14" ht="38.25">
      <c r="A29" s="9" t="s">
        <v>241</v>
      </c>
      <c r="B29" s="34">
        <v>0.5</v>
      </c>
      <c r="N29" s="11" t="s">
        <v>242</v>
      </c>
    </row>
    <row r="30" spans="1:14" ht="25.5">
      <c r="A30" s="9" t="s">
        <v>243</v>
      </c>
      <c r="B30" s="35"/>
      <c r="C30" s="34"/>
      <c r="D30" s="34"/>
      <c r="E30" s="34"/>
      <c r="F30" s="34"/>
      <c r="G30" s="34"/>
      <c r="H30" s="34"/>
      <c r="I30" s="34"/>
      <c r="J30" s="34"/>
      <c r="K30" s="34"/>
      <c r="L30" s="34"/>
      <c r="M30" s="34"/>
      <c r="N30" s="11" t="s">
        <v>244</v>
      </c>
    </row>
    <row r="31" spans="1:14" ht="25.5">
      <c r="A31" s="10" t="s">
        <v>245</v>
      </c>
      <c r="B31" s="28"/>
      <c r="C31" s="28"/>
      <c r="D31" s="28"/>
      <c r="E31" s="28"/>
      <c r="F31" s="28"/>
      <c r="G31" s="28"/>
      <c r="H31" s="28"/>
      <c r="I31" s="28"/>
      <c r="J31" s="28"/>
      <c r="K31" s="28"/>
      <c r="L31" s="28"/>
      <c r="M31" s="28"/>
      <c r="N31" s="11" t="s">
        <v>246</v>
      </c>
    </row>
    <row r="32" spans="1:14">
      <c r="A32" s="10" t="s">
        <v>247</v>
      </c>
      <c r="B32" s="28"/>
      <c r="C32" s="28"/>
      <c r="D32" s="28"/>
      <c r="E32" s="28"/>
      <c r="F32" s="28"/>
      <c r="G32" s="28"/>
      <c r="H32" s="28"/>
      <c r="I32" s="28"/>
      <c r="J32" s="28"/>
      <c r="K32" s="28"/>
      <c r="L32" s="28"/>
      <c r="M32" s="28"/>
      <c r="N32" s="11" t="s">
        <v>248</v>
      </c>
    </row>
    <row r="33" spans="1:14" ht="25.5">
      <c r="A33" s="10" t="s">
        <v>249</v>
      </c>
      <c r="B33" s="28"/>
      <c r="C33" s="28"/>
      <c r="D33" s="28"/>
      <c r="E33" s="28"/>
      <c r="F33" s="28"/>
      <c r="G33" s="28"/>
      <c r="H33" s="28"/>
      <c r="I33" s="28"/>
      <c r="J33" s="28"/>
      <c r="K33" s="28"/>
      <c r="L33" s="28"/>
      <c r="M33" s="28"/>
      <c r="N33" s="11" t="s">
        <v>250</v>
      </c>
    </row>
    <row r="34" spans="1:14" ht="25.5">
      <c r="A34" s="3" t="s">
        <v>251</v>
      </c>
      <c r="B34" s="37" t="str">
        <f t="shared" ref="B34:M34" si="8">IF(COUNT(B31:B33)&lt;3,"",PRODUCT(B31:B33))</f>
        <v/>
      </c>
      <c r="C34" s="37" t="str">
        <f t="shared" si="8"/>
        <v/>
      </c>
      <c r="D34" s="37" t="str">
        <f t="shared" si="8"/>
        <v/>
      </c>
      <c r="E34" s="37" t="str">
        <f t="shared" si="8"/>
        <v/>
      </c>
      <c r="F34" s="37" t="str">
        <f t="shared" si="8"/>
        <v/>
      </c>
      <c r="G34" s="37" t="str">
        <f t="shared" si="8"/>
        <v/>
      </c>
      <c r="H34" s="37" t="str">
        <f t="shared" si="8"/>
        <v/>
      </c>
      <c r="I34" s="37" t="str">
        <f t="shared" si="8"/>
        <v/>
      </c>
      <c r="J34" s="37" t="str">
        <f t="shared" si="8"/>
        <v/>
      </c>
      <c r="K34" s="37" t="str">
        <f t="shared" si="8"/>
        <v/>
      </c>
      <c r="L34" s="37" t="str">
        <f t="shared" si="8"/>
        <v/>
      </c>
      <c r="M34" s="37" t="str">
        <f t="shared" si="8"/>
        <v/>
      </c>
      <c r="N34" s="11" t="s">
        <v>252</v>
      </c>
    </row>
    <row r="35" spans="1:14" ht="25.5">
      <c r="A35" s="3" t="s">
        <v>253</v>
      </c>
      <c r="B35" s="37" t="str">
        <f>IF(Invoer!$B$24="","",Invoer!$B$24)</f>
        <v/>
      </c>
      <c r="C35" s="37" t="str">
        <f t="shared" ref="C35:M35" si="9">IF(C34&lt;&gt;"",C34,IF(OR(B35="",C30=""),"",B35*(1+C30)))</f>
        <v/>
      </c>
      <c r="D35" s="37" t="str">
        <f t="shared" si="9"/>
        <v/>
      </c>
      <c r="E35" s="37" t="str">
        <f t="shared" si="9"/>
        <v/>
      </c>
      <c r="F35" s="37" t="str">
        <f t="shared" si="9"/>
        <v/>
      </c>
      <c r="G35" s="37" t="str">
        <f t="shared" si="9"/>
        <v/>
      </c>
      <c r="H35" s="37" t="str">
        <f t="shared" si="9"/>
        <v/>
      </c>
      <c r="I35" s="37" t="str">
        <f t="shared" si="9"/>
        <v/>
      </c>
      <c r="J35" s="37" t="str">
        <f t="shared" si="9"/>
        <v/>
      </c>
      <c r="K35" s="37" t="str">
        <f t="shared" si="9"/>
        <v/>
      </c>
      <c r="L35" s="37" t="str">
        <f t="shared" si="9"/>
        <v/>
      </c>
      <c r="M35" s="37" t="str">
        <f t="shared" si="9"/>
        <v/>
      </c>
      <c r="N35" s="11" t="s">
        <v>254</v>
      </c>
    </row>
    <row r="36" spans="1:14" ht="25.5">
      <c r="A36" s="9" t="s">
        <v>198</v>
      </c>
      <c r="B36" s="35" t="str">
        <f>IF(Invoer!$B$27="","",Invoer!$B$27)</f>
        <v/>
      </c>
      <c r="C36" s="34"/>
      <c r="D36" s="34"/>
      <c r="E36" s="34"/>
      <c r="F36" s="34"/>
      <c r="G36" s="34"/>
      <c r="H36" s="34"/>
      <c r="I36" s="34"/>
      <c r="J36" s="34"/>
      <c r="K36" s="34"/>
      <c r="L36" s="34"/>
      <c r="M36" s="34"/>
      <c r="N36" s="11" t="s">
        <v>255</v>
      </c>
    </row>
    <row r="37" spans="1:14">
      <c r="A37" s="3" t="s">
        <v>231</v>
      </c>
      <c r="B37" s="37" t="str">
        <f>IF(Invoer!$B$25="","",Invoer!$B$25)</f>
        <v/>
      </c>
      <c r="C37" s="37" t="str">
        <f t="shared" ref="C37:M37" si="10">IF(OR(C35="",C36=""),"",C35*C36)</f>
        <v/>
      </c>
      <c r="D37" s="37" t="str">
        <f t="shared" si="10"/>
        <v/>
      </c>
      <c r="E37" s="37" t="str">
        <f t="shared" si="10"/>
        <v/>
      </c>
      <c r="F37" s="37" t="str">
        <f t="shared" si="10"/>
        <v/>
      </c>
      <c r="G37" s="37" t="str">
        <f t="shared" si="10"/>
        <v/>
      </c>
      <c r="H37" s="37" t="str">
        <f t="shared" si="10"/>
        <v/>
      </c>
      <c r="I37" s="37" t="str">
        <f t="shared" si="10"/>
        <v/>
      </c>
      <c r="J37" s="37" t="str">
        <f t="shared" si="10"/>
        <v/>
      </c>
      <c r="K37" s="37" t="str">
        <f t="shared" si="10"/>
        <v/>
      </c>
      <c r="L37" s="37" t="str">
        <f t="shared" si="10"/>
        <v/>
      </c>
      <c r="M37" s="37" t="str">
        <f t="shared" si="10"/>
        <v/>
      </c>
      <c r="N37" s="10"/>
    </row>
    <row r="38" spans="1:14" ht="25.5">
      <c r="A38" s="9" t="s">
        <v>256</v>
      </c>
      <c r="B38" s="38" t="str">
        <f>IF(Invoer!$B$28="","",Invoer!$B$28)</f>
        <v/>
      </c>
      <c r="C38" s="41"/>
      <c r="D38" s="41"/>
      <c r="E38" s="41"/>
      <c r="F38" s="41"/>
      <c r="G38" s="41"/>
      <c r="H38" s="41"/>
      <c r="I38" s="41"/>
      <c r="J38" s="41"/>
      <c r="K38" s="41"/>
      <c r="L38" s="41"/>
      <c r="M38" s="41"/>
      <c r="N38" s="11" t="s">
        <v>257</v>
      </c>
    </row>
    <row r="39" spans="1:14">
      <c r="A39" s="3" t="s">
        <v>258</v>
      </c>
      <c r="B39" s="37" t="str">
        <f>IF(Invoer!$B$26="","",Invoer!$B$26)</f>
        <v/>
      </c>
      <c r="C39" s="37" t="str">
        <f t="shared" ref="C39:M39" si="11">IF(OR(C37="",C38=""),"",C37*C38)</f>
        <v/>
      </c>
      <c r="D39" s="37" t="str">
        <f t="shared" si="11"/>
        <v/>
      </c>
      <c r="E39" s="37" t="str">
        <f t="shared" si="11"/>
        <v/>
      </c>
      <c r="F39" s="37" t="str">
        <f t="shared" si="11"/>
        <v/>
      </c>
      <c r="G39" s="37" t="str">
        <f t="shared" si="11"/>
        <v/>
      </c>
      <c r="H39" s="37" t="str">
        <f t="shared" si="11"/>
        <v/>
      </c>
      <c r="I39" s="37" t="str">
        <f t="shared" si="11"/>
        <v/>
      </c>
      <c r="J39" s="37" t="str">
        <f t="shared" si="11"/>
        <v/>
      </c>
      <c r="K39" s="37" t="str">
        <f t="shared" si="11"/>
        <v/>
      </c>
      <c r="L39" s="37" t="str">
        <f t="shared" si="11"/>
        <v/>
      </c>
      <c r="M39" s="37" t="str">
        <f t="shared" si="11"/>
        <v/>
      </c>
      <c r="N39" s="10"/>
    </row>
    <row r="40" spans="1:14" ht="25.5">
      <c r="A40" s="9" t="s">
        <v>259</v>
      </c>
      <c r="B40" s="35"/>
      <c r="C40" s="34"/>
      <c r="D40" s="34"/>
      <c r="E40" s="34"/>
      <c r="F40" s="34"/>
      <c r="G40" s="34"/>
      <c r="H40" s="34"/>
      <c r="I40" s="34"/>
      <c r="J40" s="34"/>
      <c r="K40" s="34"/>
      <c r="L40" s="34"/>
      <c r="M40" s="34"/>
      <c r="N40" s="11" t="s">
        <v>260</v>
      </c>
    </row>
    <row r="41" spans="1:14">
      <c r="A41" s="3" t="s">
        <v>261</v>
      </c>
      <c r="B41" s="37" t="str">
        <f>IF(Invoer!$B$19="","",Invoer!$B$19)</f>
        <v/>
      </c>
      <c r="C41" s="37" t="str">
        <f t="shared" ref="C41:M41" si="12">IF(OR(B41="",C40=""),"",B41*(1+C40))</f>
        <v/>
      </c>
      <c r="D41" s="37" t="str">
        <f t="shared" si="12"/>
        <v/>
      </c>
      <c r="E41" s="37" t="str">
        <f t="shared" si="12"/>
        <v/>
      </c>
      <c r="F41" s="37" t="str">
        <f t="shared" si="12"/>
        <v/>
      </c>
      <c r="G41" s="37" t="str">
        <f t="shared" si="12"/>
        <v/>
      </c>
      <c r="H41" s="37" t="str">
        <f t="shared" si="12"/>
        <v/>
      </c>
      <c r="I41" s="37" t="str">
        <f t="shared" si="12"/>
        <v/>
      </c>
      <c r="J41" s="37" t="str">
        <f t="shared" si="12"/>
        <v/>
      </c>
      <c r="K41" s="37" t="str">
        <f t="shared" si="12"/>
        <v/>
      </c>
      <c r="L41" s="37" t="str">
        <f t="shared" si="12"/>
        <v/>
      </c>
      <c r="M41" s="37" t="str">
        <f t="shared" si="12"/>
        <v/>
      </c>
      <c r="N41" s="10"/>
    </row>
    <row r="42" spans="1:14">
      <c r="A42" s="3" t="s">
        <v>262</v>
      </c>
      <c r="B42" s="39" t="str">
        <f>IF(Invoer!$B$29="","",Invoer!$B$29)</f>
        <v/>
      </c>
      <c r="C42" s="39" t="str">
        <f t="shared" ref="C42:M42" si="13">IF(OR(C37="",C41="",C41=0),"",C37/C41)</f>
        <v/>
      </c>
      <c r="D42" s="39" t="str">
        <f t="shared" si="13"/>
        <v/>
      </c>
      <c r="E42" s="39" t="str">
        <f t="shared" si="13"/>
        <v/>
      </c>
      <c r="F42" s="39" t="str">
        <f t="shared" si="13"/>
        <v/>
      </c>
      <c r="G42" s="39" t="str">
        <f t="shared" si="13"/>
        <v/>
      </c>
      <c r="H42" s="39" t="str">
        <f t="shared" si="13"/>
        <v/>
      </c>
      <c r="I42" s="39" t="str">
        <f t="shared" si="13"/>
        <v/>
      </c>
      <c r="J42" s="39" t="str">
        <f t="shared" si="13"/>
        <v/>
      </c>
      <c r="K42" s="39" t="str">
        <f t="shared" si="13"/>
        <v/>
      </c>
      <c r="L42" s="39" t="str">
        <f t="shared" si="13"/>
        <v/>
      </c>
      <c r="M42" s="39" t="str">
        <f t="shared" si="13"/>
        <v/>
      </c>
      <c r="N42" s="10"/>
    </row>
    <row r="43" spans="1:14">
      <c r="A43" s="3" t="s">
        <v>263</v>
      </c>
      <c r="B43" s="39" t="str">
        <f t="shared" ref="B43:M43" si="14">IF(OR(B39="",B41="",B41=0),"",B39/B41)</f>
        <v/>
      </c>
      <c r="C43" s="39" t="str">
        <f t="shared" si="14"/>
        <v/>
      </c>
      <c r="D43" s="39" t="str">
        <f t="shared" si="14"/>
        <v/>
      </c>
      <c r="E43" s="39" t="str">
        <f t="shared" si="14"/>
        <v/>
      </c>
      <c r="F43" s="39" t="str">
        <f t="shared" si="14"/>
        <v/>
      </c>
      <c r="G43" s="39" t="str">
        <f t="shared" si="14"/>
        <v/>
      </c>
      <c r="H43" s="39" t="str">
        <f t="shared" si="14"/>
        <v/>
      </c>
      <c r="I43" s="39" t="str">
        <f t="shared" si="14"/>
        <v/>
      </c>
      <c r="J43" s="39" t="str">
        <f t="shared" si="14"/>
        <v/>
      </c>
      <c r="K43" s="39" t="str">
        <f t="shared" si="14"/>
        <v/>
      </c>
      <c r="L43" s="39" t="str">
        <f t="shared" si="14"/>
        <v/>
      </c>
      <c r="M43" s="39" t="str">
        <f t="shared" si="14"/>
        <v/>
      </c>
      <c r="N43" s="10"/>
    </row>
    <row r="44" spans="1:14" ht="38.25">
      <c r="A44" s="9" t="s">
        <v>264</v>
      </c>
      <c r="B44" s="41"/>
      <c r="N44" s="11" t="s">
        <v>265</v>
      </c>
    </row>
    <row r="45" spans="1:14" ht="25.5">
      <c r="A45" s="9" t="s">
        <v>266</v>
      </c>
      <c r="B45" s="34">
        <v>0.1</v>
      </c>
      <c r="N45" s="11" t="s">
        <v>267</v>
      </c>
    </row>
    <row r="46" spans="1:14" ht="25.5">
      <c r="A46" s="9" t="s">
        <v>268</v>
      </c>
      <c r="B46" s="34">
        <v>2.5000000000000001E-2</v>
      </c>
      <c r="N46" s="11" t="s">
        <v>269</v>
      </c>
    </row>
    <row r="47" spans="1:14" ht="25.5">
      <c r="A47" s="3" t="s">
        <v>270</v>
      </c>
      <c r="B47" s="39" t="str">
        <f>IF(Invoer!$B$15="","",-Invoer!$B$15/Invoer!$B$9)</f>
        <v/>
      </c>
      <c r="C47" s="39" t="str">
        <f t="shared" ref="C47:L47" si="15">IF(C43="","",C43)</f>
        <v/>
      </c>
      <c r="D47" s="39" t="str">
        <f t="shared" si="15"/>
        <v/>
      </c>
      <c r="E47" s="39" t="str">
        <f t="shared" si="15"/>
        <v/>
      </c>
      <c r="F47" s="39" t="str">
        <f t="shared" si="15"/>
        <v/>
      </c>
      <c r="G47" s="39" t="str">
        <f t="shared" si="15"/>
        <v/>
      </c>
      <c r="H47" s="39" t="str">
        <f t="shared" si="15"/>
        <v/>
      </c>
      <c r="I47" s="39" t="str">
        <f t="shared" si="15"/>
        <v/>
      </c>
      <c r="J47" s="39" t="str">
        <f t="shared" si="15"/>
        <v/>
      </c>
      <c r="K47" s="39" t="str">
        <f t="shared" si="15"/>
        <v/>
      </c>
      <c r="L47" s="39" t="str">
        <f t="shared" si="15"/>
        <v/>
      </c>
      <c r="M47" s="39" t="str">
        <f>IF(OR(M43="",M42="",$B$44=""),"",M43+$B$44*M42)</f>
        <v/>
      </c>
      <c r="N47" s="11" t="s">
        <v>271</v>
      </c>
    </row>
    <row r="48" spans="1:14">
      <c r="A48" s="9" t="s">
        <v>272</v>
      </c>
      <c r="B48" s="35"/>
      <c r="C48" s="34"/>
      <c r="D48" s="34"/>
      <c r="E48" s="34"/>
      <c r="F48" s="34"/>
      <c r="G48" s="34"/>
      <c r="H48" s="34"/>
      <c r="I48" s="34"/>
      <c r="J48" s="34"/>
      <c r="K48" s="34"/>
      <c r="L48" s="34"/>
      <c r="M48" s="34"/>
      <c r="N48" s="11" t="s">
        <v>273</v>
      </c>
    </row>
    <row r="49" spans="1:14" ht="25.5">
      <c r="A49" s="9" t="s">
        <v>274</v>
      </c>
      <c r="B49" s="35"/>
      <c r="C49" s="34"/>
      <c r="D49" s="34"/>
      <c r="E49" s="34"/>
      <c r="F49" s="34"/>
      <c r="G49" s="34"/>
      <c r="H49" s="34"/>
      <c r="I49" s="34"/>
      <c r="J49" s="34"/>
      <c r="K49" s="34"/>
      <c r="L49" s="34"/>
      <c r="M49" s="34"/>
      <c r="N49" s="11" t="s">
        <v>275</v>
      </c>
    </row>
    <row r="50" spans="1:14" ht="25.5">
      <c r="A50" s="9" t="s">
        <v>276</v>
      </c>
      <c r="B50" s="35"/>
      <c r="C50" s="34"/>
      <c r="D50" s="34"/>
      <c r="E50" s="34"/>
      <c r="F50" s="34"/>
      <c r="G50" s="34"/>
      <c r="H50" s="34"/>
      <c r="I50" s="34"/>
      <c r="J50" s="34"/>
      <c r="K50" s="34"/>
      <c r="L50" s="34"/>
      <c r="M50" s="34"/>
      <c r="N50" s="11" t="s">
        <v>277</v>
      </c>
    </row>
    <row r="52" spans="1:14" ht="35.25" customHeight="1">
      <c r="A52" s="71" t="s">
        <v>280</v>
      </c>
      <c r="N52" s="8" t="s">
        <v>281</v>
      </c>
    </row>
    <row r="53" spans="1:14" ht="38.25">
      <c r="A53" s="9" t="s">
        <v>241</v>
      </c>
      <c r="B53" s="34">
        <v>0.25</v>
      </c>
      <c r="N53" s="11" t="s">
        <v>242</v>
      </c>
    </row>
    <row r="54" spans="1:14" ht="25.5">
      <c r="A54" s="9" t="s">
        <v>243</v>
      </c>
      <c r="B54" s="35"/>
      <c r="C54" s="34"/>
      <c r="D54" s="34"/>
      <c r="E54" s="34"/>
      <c r="F54" s="34"/>
      <c r="G54" s="34"/>
      <c r="H54" s="34"/>
      <c r="I54" s="34"/>
      <c r="J54" s="34"/>
      <c r="K54" s="34"/>
      <c r="L54" s="34"/>
      <c r="M54" s="34"/>
      <c r="N54" s="11" t="s">
        <v>244</v>
      </c>
    </row>
    <row r="55" spans="1:14" ht="25.5">
      <c r="A55" s="10" t="s">
        <v>245</v>
      </c>
      <c r="B55" s="28"/>
      <c r="C55" s="28"/>
      <c r="D55" s="28"/>
      <c r="E55" s="28"/>
      <c r="F55" s="28"/>
      <c r="G55" s="28"/>
      <c r="H55" s="28"/>
      <c r="I55" s="28"/>
      <c r="J55" s="28"/>
      <c r="K55" s="28"/>
      <c r="L55" s="28"/>
      <c r="M55" s="28"/>
      <c r="N55" s="11" t="s">
        <v>246</v>
      </c>
    </row>
    <row r="56" spans="1:14">
      <c r="A56" s="10" t="s">
        <v>247</v>
      </c>
      <c r="B56" s="28"/>
      <c r="C56" s="28"/>
      <c r="D56" s="28"/>
      <c r="E56" s="28"/>
      <c r="F56" s="28"/>
      <c r="G56" s="28"/>
      <c r="H56" s="28"/>
      <c r="I56" s="28"/>
      <c r="J56" s="28"/>
      <c r="K56" s="28"/>
      <c r="L56" s="28"/>
      <c r="M56" s="28"/>
      <c r="N56" s="11" t="s">
        <v>248</v>
      </c>
    </row>
    <row r="57" spans="1:14" ht="25.5">
      <c r="A57" s="10" t="s">
        <v>249</v>
      </c>
      <c r="B57" s="28"/>
      <c r="C57" s="28"/>
      <c r="D57" s="28"/>
      <c r="E57" s="28"/>
      <c r="F57" s="28"/>
      <c r="G57" s="28"/>
      <c r="H57" s="28"/>
      <c r="I57" s="28"/>
      <c r="J57" s="28"/>
      <c r="K57" s="28"/>
      <c r="L57" s="28"/>
      <c r="M57" s="28"/>
      <c r="N57" s="11" t="s">
        <v>250</v>
      </c>
    </row>
    <row r="58" spans="1:14" ht="25.5">
      <c r="A58" s="3" t="s">
        <v>251</v>
      </c>
      <c r="B58" s="37" t="str">
        <f t="shared" ref="B58:M58" si="16">IF(COUNT(B55:B57)&lt;3,"",PRODUCT(B55:B57))</f>
        <v/>
      </c>
      <c r="C58" s="37" t="str">
        <f t="shared" si="16"/>
        <v/>
      </c>
      <c r="D58" s="37" t="str">
        <f t="shared" si="16"/>
        <v/>
      </c>
      <c r="E58" s="37" t="str">
        <f t="shared" si="16"/>
        <v/>
      </c>
      <c r="F58" s="37" t="str">
        <f t="shared" si="16"/>
        <v/>
      </c>
      <c r="G58" s="37" t="str">
        <f t="shared" si="16"/>
        <v/>
      </c>
      <c r="H58" s="37" t="str">
        <f t="shared" si="16"/>
        <v/>
      </c>
      <c r="I58" s="37" t="str">
        <f t="shared" si="16"/>
        <v/>
      </c>
      <c r="J58" s="37" t="str">
        <f t="shared" si="16"/>
        <v/>
      </c>
      <c r="K58" s="37" t="str">
        <f t="shared" si="16"/>
        <v/>
      </c>
      <c r="L58" s="37" t="str">
        <f t="shared" si="16"/>
        <v/>
      </c>
      <c r="M58" s="37" t="str">
        <f t="shared" si="16"/>
        <v/>
      </c>
      <c r="N58" s="11" t="s">
        <v>252</v>
      </c>
    </row>
    <row r="59" spans="1:14" ht="25.5">
      <c r="A59" s="3" t="s">
        <v>253</v>
      </c>
      <c r="B59" s="37" t="str">
        <f>IF(Invoer!$B$24="","",Invoer!$B$24)</f>
        <v/>
      </c>
      <c r="C59" s="37" t="str">
        <f t="shared" ref="C59:M59" si="17">IF(C58&lt;&gt;"",C58,IF(OR(B59="",C54=""),"",B59*(1+C54)))</f>
        <v/>
      </c>
      <c r="D59" s="37" t="str">
        <f t="shared" si="17"/>
        <v/>
      </c>
      <c r="E59" s="37" t="str">
        <f t="shared" si="17"/>
        <v/>
      </c>
      <c r="F59" s="37" t="str">
        <f t="shared" si="17"/>
        <v/>
      </c>
      <c r="G59" s="37" t="str">
        <f t="shared" si="17"/>
        <v/>
      </c>
      <c r="H59" s="37" t="str">
        <f t="shared" si="17"/>
        <v/>
      </c>
      <c r="I59" s="37" t="str">
        <f t="shared" si="17"/>
        <v/>
      </c>
      <c r="J59" s="37" t="str">
        <f t="shared" si="17"/>
        <v/>
      </c>
      <c r="K59" s="37" t="str">
        <f t="shared" si="17"/>
        <v/>
      </c>
      <c r="L59" s="37" t="str">
        <f t="shared" si="17"/>
        <v/>
      </c>
      <c r="M59" s="37" t="str">
        <f t="shared" si="17"/>
        <v/>
      </c>
      <c r="N59" s="11" t="s">
        <v>254</v>
      </c>
    </row>
    <row r="60" spans="1:14" ht="25.5">
      <c r="A60" s="9" t="s">
        <v>198</v>
      </c>
      <c r="B60" s="35" t="str">
        <f>IF(Invoer!$B$27="","",Invoer!$B$27)</f>
        <v/>
      </c>
      <c r="C60" s="34"/>
      <c r="D60" s="34"/>
      <c r="E60" s="34"/>
      <c r="F60" s="34"/>
      <c r="G60" s="34"/>
      <c r="H60" s="34"/>
      <c r="I60" s="34"/>
      <c r="J60" s="34"/>
      <c r="K60" s="34"/>
      <c r="L60" s="34"/>
      <c r="M60" s="34"/>
      <c r="N60" s="11" t="s">
        <v>255</v>
      </c>
    </row>
    <row r="61" spans="1:14">
      <c r="A61" s="3" t="s">
        <v>231</v>
      </c>
      <c r="B61" s="37" t="str">
        <f>IF(Invoer!$B$25="","",Invoer!$B$25)</f>
        <v/>
      </c>
      <c r="C61" s="37" t="str">
        <f t="shared" ref="C61:M61" si="18">IF(OR(C59="",C60=""),"",C59*C60)</f>
        <v/>
      </c>
      <c r="D61" s="37" t="str">
        <f t="shared" si="18"/>
        <v/>
      </c>
      <c r="E61" s="37" t="str">
        <f t="shared" si="18"/>
        <v/>
      </c>
      <c r="F61" s="37" t="str">
        <f t="shared" si="18"/>
        <v/>
      </c>
      <c r="G61" s="37" t="str">
        <f t="shared" si="18"/>
        <v/>
      </c>
      <c r="H61" s="37" t="str">
        <f t="shared" si="18"/>
        <v/>
      </c>
      <c r="I61" s="37" t="str">
        <f t="shared" si="18"/>
        <v/>
      </c>
      <c r="J61" s="37" t="str">
        <f t="shared" si="18"/>
        <v/>
      </c>
      <c r="K61" s="37" t="str">
        <f t="shared" si="18"/>
        <v/>
      </c>
      <c r="L61" s="37" t="str">
        <f t="shared" si="18"/>
        <v/>
      </c>
      <c r="M61" s="37" t="str">
        <f t="shared" si="18"/>
        <v/>
      </c>
      <c r="N61" s="10"/>
    </row>
    <row r="62" spans="1:14" ht="25.5">
      <c r="A62" s="9" t="s">
        <v>256</v>
      </c>
      <c r="B62" s="38" t="str">
        <f>IF(Invoer!$B$28="","",Invoer!$B$28)</f>
        <v/>
      </c>
      <c r="C62" s="41"/>
      <c r="D62" s="41"/>
      <c r="E62" s="41"/>
      <c r="F62" s="41"/>
      <c r="G62" s="41"/>
      <c r="H62" s="41"/>
      <c r="I62" s="41"/>
      <c r="J62" s="41"/>
      <c r="K62" s="41"/>
      <c r="L62" s="41"/>
      <c r="M62" s="41"/>
      <c r="N62" s="11" t="s">
        <v>257</v>
      </c>
    </row>
    <row r="63" spans="1:14">
      <c r="A63" s="3" t="s">
        <v>258</v>
      </c>
      <c r="B63" s="37" t="str">
        <f>IF(Invoer!$B$26="","",Invoer!$B$26)</f>
        <v/>
      </c>
      <c r="C63" s="37" t="str">
        <f t="shared" ref="C63:M63" si="19">IF(OR(C61="",C62=""),"",C61*C62)</f>
        <v/>
      </c>
      <c r="D63" s="37" t="str">
        <f t="shared" si="19"/>
        <v/>
      </c>
      <c r="E63" s="37" t="str">
        <f t="shared" si="19"/>
        <v/>
      </c>
      <c r="F63" s="37" t="str">
        <f t="shared" si="19"/>
        <v/>
      </c>
      <c r="G63" s="37" t="str">
        <f t="shared" si="19"/>
        <v/>
      </c>
      <c r="H63" s="37" t="str">
        <f t="shared" si="19"/>
        <v/>
      </c>
      <c r="I63" s="37" t="str">
        <f t="shared" si="19"/>
        <v/>
      </c>
      <c r="J63" s="37" t="str">
        <f t="shared" si="19"/>
        <v/>
      </c>
      <c r="K63" s="37" t="str">
        <f t="shared" si="19"/>
        <v/>
      </c>
      <c r="L63" s="37" t="str">
        <f t="shared" si="19"/>
        <v/>
      </c>
      <c r="M63" s="37" t="str">
        <f t="shared" si="19"/>
        <v/>
      </c>
      <c r="N63" s="10"/>
    </row>
    <row r="64" spans="1:14" ht="25.5">
      <c r="A64" s="9" t="s">
        <v>259</v>
      </c>
      <c r="B64" s="35"/>
      <c r="C64" s="34"/>
      <c r="D64" s="34"/>
      <c r="E64" s="34"/>
      <c r="F64" s="34"/>
      <c r="G64" s="34"/>
      <c r="H64" s="34"/>
      <c r="I64" s="34"/>
      <c r="J64" s="34"/>
      <c r="K64" s="34"/>
      <c r="L64" s="34"/>
      <c r="M64" s="34"/>
      <c r="N64" s="11" t="s">
        <v>260</v>
      </c>
    </row>
    <row r="65" spans="1:14">
      <c r="A65" s="3" t="s">
        <v>261</v>
      </c>
      <c r="B65" s="37" t="str">
        <f>IF(Invoer!$B$19="","",Invoer!$B$19)</f>
        <v/>
      </c>
      <c r="C65" s="37" t="str">
        <f t="shared" ref="C65:M65" si="20">IF(OR(B65="",C64=""),"",B65*(1+C64))</f>
        <v/>
      </c>
      <c r="D65" s="37" t="str">
        <f t="shared" si="20"/>
        <v/>
      </c>
      <c r="E65" s="37" t="str">
        <f t="shared" si="20"/>
        <v/>
      </c>
      <c r="F65" s="37" t="str">
        <f t="shared" si="20"/>
        <v/>
      </c>
      <c r="G65" s="37" t="str">
        <f t="shared" si="20"/>
        <v/>
      </c>
      <c r="H65" s="37" t="str">
        <f t="shared" si="20"/>
        <v/>
      </c>
      <c r="I65" s="37" t="str">
        <f t="shared" si="20"/>
        <v/>
      </c>
      <c r="J65" s="37" t="str">
        <f t="shared" si="20"/>
        <v/>
      </c>
      <c r="K65" s="37" t="str">
        <f t="shared" si="20"/>
        <v/>
      </c>
      <c r="L65" s="37" t="str">
        <f t="shared" si="20"/>
        <v/>
      </c>
      <c r="M65" s="37" t="str">
        <f t="shared" si="20"/>
        <v/>
      </c>
      <c r="N65" s="10"/>
    </row>
    <row r="66" spans="1:14">
      <c r="A66" s="3" t="s">
        <v>262</v>
      </c>
      <c r="B66" s="39" t="str">
        <f>IF(Invoer!$B$29="","",Invoer!$B$29)</f>
        <v/>
      </c>
      <c r="C66" s="39" t="str">
        <f t="shared" ref="C66:M66" si="21">IF(OR(C61="",C65="",C65=0),"",C61/C65)</f>
        <v/>
      </c>
      <c r="D66" s="39" t="str">
        <f t="shared" si="21"/>
        <v/>
      </c>
      <c r="E66" s="39" t="str">
        <f t="shared" si="21"/>
        <v/>
      </c>
      <c r="F66" s="39" t="str">
        <f t="shared" si="21"/>
        <v/>
      </c>
      <c r="G66" s="39" t="str">
        <f t="shared" si="21"/>
        <v/>
      </c>
      <c r="H66" s="39" t="str">
        <f t="shared" si="21"/>
        <v/>
      </c>
      <c r="I66" s="39" t="str">
        <f t="shared" si="21"/>
        <v/>
      </c>
      <c r="J66" s="39" t="str">
        <f t="shared" si="21"/>
        <v/>
      </c>
      <c r="K66" s="39" t="str">
        <f t="shared" si="21"/>
        <v/>
      </c>
      <c r="L66" s="39" t="str">
        <f t="shared" si="21"/>
        <v/>
      </c>
      <c r="M66" s="39" t="str">
        <f t="shared" si="21"/>
        <v/>
      </c>
      <c r="N66" s="10"/>
    </row>
    <row r="67" spans="1:14">
      <c r="A67" s="3" t="s">
        <v>263</v>
      </c>
      <c r="B67" s="39" t="str">
        <f t="shared" ref="B67:M67" si="22">IF(OR(B63="",B65="",B65=0),"",B63/B65)</f>
        <v/>
      </c>
      <c r="C67" s="39" t="str">
        <f t="shared" si="22"/>
        <v/>
      </c>
      <c r="D67" s="39" t="str">
        <f t="shared" si="22"/>
        <v/>
      </c>
      <c r="E67" s="39" t="str">
        <f t="shared" si="22"/>
        <v/>
      </c>
      <c r="F67" s="39" t="str">
        <f t="shared" si="22"/>
        <v/>
      </c>
      <c r="G67" s="39" t="str">
        <f t="shared" si="22"/>
        <v/>
      </c>
      <c r="H67" s="39" t="str">
        <f t="shared" si="22"/>
        <v/>
      </c>
      <c r="I67" s="39" t="str">
        <f t="shared" si="22"/>
        <v/>
      </c>
      <c r="J67" s="39" t="str">
        <f t="shared" si="22"/>
        <v/>
      </c>
      <c r="K67" s="39" t="str">
        <f t="shared" si="22"/>
        <v/>
      </c>
      <c r="L67" s="39" t="str">
        <f t="shared" si="22"/>
        <v/>
      </c>
      <c r="M67" s="39" t="str">
        <f t="shared" si="22"/>
        <v/>
      </c>
      <c r="N67" s="10"/>
    </row>
    <row r="68" spans="1:14" ht="38.25">
      <c r="A68" s="9" t="s">
        <v>264</v>
      </c>
      <c r="B68" s="41"/>
      <c r="N68" s="11" t="s">
        <v>265</v>
      </c>
    </row>
    <row r="69" spans="1:14" ht="25.5">
      <c r="A69" s="9" t="s">
        <v>266</v>
      </c>
      <c r="B69" s="34">
        <v>0.1</v>
      </c>
      <c r="N69" s="11" t="s">
        <v>267</v>
      </c>
    </row>
    <row r="70" spans="1:14" ht="25.5">
      <c r="A70" s="9" t="s">
        <v>268</v>
      </c>
      <c r="B70" s="34">
        <v>2.5000000000000001E-2</v>
      </c>
      <c r="N70" s="11" t="s">
        <v>269</v>
      </c>
    </row>
    <row r="71" spans="1:14" ht="25.5">
      <c r="A71" s="3" t="s">
        <v>270</v>
      </c>
      <c r="B71" s="39" t="str">
        <f>IF(Invoer!$B$15="","",-Invoer!$B$15/Invoer!$B$9)</f>
        <v/>
      </c>
      <c r="C71" s="39" t="str">
        <f t="shared" ref="C71:L71" si="23">IF(C67="","",C67)</f>
        <v/>
      </c>
      <c r="D71" s="39" t="str">
        <f t="shared" si="23"/>
        <v/>
      </c>
      <c r="E71" s="39" t="str">
        <f t="shared" si="23"/>
        <v/>
      </c>
      <c r="F71" s="39" t="str">
        <f t="shared" si="23"/>
        <v/>
      </c>
      <c r="G71" s="39" t="str">
        <f t="shared" si="23"/>
        <v/>
      </c>
      <c r="H71" s="39" t="str">
        <f t="shared" si="23"/>
        <v/>
      </c>
      <c r="I71" s="39" t="str">
        <f t="shared" si="23"/>
        <v/>
      </c>
      <c r="J71" s="39" t="str">
        <f t="shared" si="23"/>
        <v/>
      </c>
      <c r="K71" s="39" t="str">
        <f t="shared" si="23"/>
        <v/>
      </c>
      <c r="L71" s="39" t="str">
        <f t="shared" si="23"/>
        <v/>
      </c>
      <c r="M71" s="39" t="str">
        <f>IF(OR(M67="",M66="",$B$68=""),"",M67+$B$68*M66)</f>
        <v/>
      </c>
      <c r="N71" s="11" t="s">
        <v>271</v>
      </c>
    </row>
    <row r="72" spans="1:14">
      <c r="A72" s="9" t="s">
        <v>272</v>
      </c>
      <c r="B72" s="35"/>
      <c r="C72" s="34"/>
      <c r="D72" s="34"/>
      <c r="E72" s="34"/>
      <c r="F72" s="34"/>
      <c r="G72" s="34"/>
      <c r="H72" s="34"/>
      <c r="I72" s="34"/>
      <c r="J72" s="34"/>
      <c r="K72" s="34"/>
      <c r="L72" s="34"/>
      <c r="M72" s="34"/>
      <c r="N72" s="11" t="s">
        <v>273</v>
      </c>
    </row>
    <row r="73" spans="1:14" ht="25.5">
      <c r="A73" s="9" t="s">
        <v>274</v>
      </c>
      <c r="B73" s="35"/>
      <c r="C73" s="34"/>
      <c r="D73" s="34"/>
      <c r="E73" s="34"/>
      <c r="F73" s="34"/>
      <c r="G73" s="34"/>
      <c r="H73" s="34"/>
      <c r="I73" s="34"/>
      <c r="J73" s="34"/>
      <c r="K73" s="34"/>
      <c r="L73" s="34"/>
      <c r="M73" s="34"/>
      <c r="N73" s="11" t="s">
        <v>275</v>
      </c>
    </row>
    <row r="74" spans="1:14" ht="25.5">
      <c r="A74" s="9" t="s">
        <v>276</v>
      </c>
      <c r="B74" s="35"/>
      <c r="C74" s="34"/>
      <c r="D74" s="34"/>
      <c r="E74" s="34"/>
      <c r="F74" s="34"/>
      <c r="G74" s="34"/>
      <c r="H74" s="34"/>
      <c r="I74" s="34"/>
      <c r="J74" s="34"/>
      <c r="K74" s="34"/>
      <c r="L74" s="34"/>
      <c r="M74" s="34"/>
      <c r="N74" s="11" t="s">
        <v>277</v>
      </c>
    </row>
    <row r="76" spans="1:14" ht="30">
      <c r="A76" s="72" t="s">
        <v>282</v>
      </c>
      <c r="B76" s="73" t="str">
        <f>Invoer!$B$33</f>
        <v>Midden</v>
      </c>
    </row>
    <row r="77" spans="1:14">
      <c r="A77" s="27" t="s">
        <v>283</v>
      </c>
      <c r="B77" s="35">
        <f>CHOOSE(Invoer!$B$34,B5,B29,B53)</f>
        <v>0.5</v>
      </c>
    </row>
    <row r="78" spans="1:14">
      <c r="A78" s="27" t="s">
        <v>243</v>
      </c>
      <c r="B78" s="35">
        <f>CHOOSE(Invoer!$B$34,B6,B30,B54)</f>
        <v>0</v>
      </c>
      <c r="C78" s="35">
        <f>CHOOSE(Invoer!$B$34,C6,C30,C54)</f>
        <v>0</v>
      </c>
      <c r="D78" s="35">
        <f>CHOOSE(Invoer!$B$34,D6,D30,D54)</f>
        <v>0</v>
      </c>
      <c r="E78" s="35">
        <f>CHOOSE(Invoer!$B$34,E6,E30,E54)</f>
        <v>0</v>
      </c>
      <c r="F78" s="35">
        <f>CHOOSE(Invoer!$B$34,F6,F30,F54)</f>
        <v>0</v>
      </c>
      <c r="G78" s="35">
        <f>CHOOSE(Invoer!$B$34,G6,G30,G54)</f>
        <v>0</v>
      </c>
      <c r="H78" s="35">
        <f>CHOOSE(Invoer!$B$34,H6,H30,H54)</f>
        <v>0</v>
      </c>
      <c r="I78" s="35">
        <f>CHOOSE(Invoer!$B$34,I6,I30,I54)</f>
        <v>0</v>
      </c>
      <c r="J78" s="35">
        <f>CHOOSE(Invoer!$B$34,J6,J30,J54)</f>
        <v>0</v>
      </c>
      <c r="K78" s="35">
        <f>CHOOSE(Invoer!$B$34,K6,K30,K54)</f>
        <v>0</v>
      </c>
      <c r="L78" s="35">
        <f>CHOOSE(Invoer!$B$34,L6,L30,L54)</f>
        <v>0</v>
      </c>
      <c r="M78" s="35">
        <f>CHOOSE(Invoer!$B$34,M6,M30,M54)</f>
        <v>0</v>
      </c>
    </row>
    <row r="79" spans="1:14">
      <c r="A79" s="27" t="s">
        <v>190</v>
      </c>
      <c r="B79" s="37" t="str">
        <f>CHOOSE(Invoer!$B$34,B11,B35,B59)</f>
        <v/>
      </c>
      <c r="C79" s="37" t="str">
        <f>CHOOSE(Invoer!$B$34,C11,C35,C59)</f>
        <v/>
      </c>
      <c r="D79" s="37" t="str">
        <f>CHOOSE(Invoer!$B$34,D11,D35,D59)</f>
        <v/>
      </c>
      <c r="E79" s="37" t="str">
        <f>CHOOSE(Invoer!$B$34,E11,E35,E59)</f>
        <v/>
      </c>
      <c r="F79" s="37" t="str">
        <f>CHOOSE(Invoer!$B$34,F11,F35,F59)</f>
        <v/>
      </c>
      <c r="G79" s="37" t="str">
        <f>CHOOSE(Invoer!$B$34,G11,G35,G59)</f>
        <v/>
      </c>
      <c r="H79" s="37" t="str">
        <f>CHOOSE(Invoer!$B$34,H11,H35,H59)</f>
        <v/>
      </c>
      <c r="I79" s="37" t="str">
        <f>CHOOSE(Invoer!$B$34,I11,I35,I59)</f>
        <v/>
      </c>
      <c r="J79" s="37" t="str">
        <f>CHOOSE(Invoer!$B$34,J11,J35,J59)</f>
        <v/>
      </c>
      <c r="K79" s="37" t="str">
        <f>CHOOSE(Invoer!$B$34,K11,K35,K59)</f>
        <v/>
      </c>
      <c r="L79" s="37" t="str">
        <f>CHOOSE(Invoer!$B$34,L11,L35,L59)</f>
        <v/>
      </c>
      <c r="M79" s="37" t="str">
        <f>CHOOSE(Invoer!$B$34,M11,M35,M59)</f>
        <v/>
      </c>
    </row>
    <row r="80" spans="1:14">
      <c r="A80" s="27" t="s">
        <v>198</v>
      </c>
      <c r="B80" s="35" t="str">
        <f>CHOOSE(Invoer!$B$34,B12,B36,B60)</f>
        <v/>
      </c>
      <c r="C80" s="35">
        <f>CHOOSE(Invoer!$B$34,C12,C36,C60)</f>
        <v>0</v>
      </c>
      <c r="D80" s="35">
        <f>CHOOSE(Invoer!$B$34,D12,D36,D60)</f>
        <v>0</v>
      </c>
      <c r="E80" s="35">
        <f>CHOOSE(Invoer!$B$34,E12,E36,E60)</f>
        <v>0</v>
      </c>
      <c r="F80" s="35">
        <f>CHOOSE(Invoer!$B$34,F12,F36,F60)</f>
        <v>0</v>
      </c>
      <c r="G80" s="35">
        <f>CHOOSE(Invoer!$B$34,G12,G36,G60)</f>
        <v>0</v>
      </c>
      <c r="H80" s="35">
        <f>CHOOSE(Invoer!$B$34,H12,H36,H60)</f>
        <v>0</v>
      </c>
      <c r="I80" s="35">
        <f>CHOOSE(Invoer!$B$34,I12,I36,I60)</f>
        <v>0</v>
      </c>
      <c r="J80" s="35">
        <f>CHOOSE(Invoer!$B$34,J12,J36,J60)</f>
        <v>0</v>
      </c>
      <c r="K80" s="35">
        <f>CHOOSE(Invoer!$B$34,K12,K36,K60)</f>
        <v>0</v>
      </c>
      <c r="L80" s="35">
        <f>CHOOSE(Invoer!$B$34,L12,L36,L60)</f>
        <v>0</v>
      </c>
      <c r="M80" s="35">
        <f>CHOOSE(Invoer!$B$34,M12,M36,M60)</f>
        <v>0</v>
      </c>
    </row>
    <row r="81" spans="1:13">
      <c r="A81" s="27" t="s">
        <v>231</v>
      </c>
      <c r="B81" s="37" t="str">
        <f>CHOOSE(Invoer!$B$34,B13,B37,B61)</f>
        <v/>
      </c>
      <c r="C81" s="37" t="str">
        <f>CHOOSE(Invoer!$B$34,C13,C37,C61)</f>
        <v/>
      </c>
      <c r="D81" s="37" t="str">
        <f>CHOOSE(Invoer!$B$34,D13,D37,D61)</f>
        <v/>
      </c>
      <c r="E81" s="37" t="str">
        <f>CHOOSE(Invoer!$B$34,E13,E37,E61)</f>
        <v/>
      </c>
      <c r="F81" s="37" t="str">
        <f>CHOOSE(Invoer!$B$34,F13,F37,F61)</f>
        <v/>
      </c>
      <c r="G81" s="37" t="str">
        <f>CHOOSE(Invoer!$B$34,G13,G37,G61)</f>
        <v/>
      </c>
      <c r="H81" s="37" t="str">
        <f>CHOOSE(Invoer!$B$34,H13,H37,H61)</f>
        <v/>
      </c>
      <c r="I81" s="37" t="str">
        <f>CHOOSE(Invoer!$B$34,I13,I37,I61)</f>
        <v/>
      </c>
      <c r="J81" s="37" t="str">
        <f>CHOOSE(Invoer!$B$34,J13,J37,J61)</f>
        <v/>
      </c>
      <c r="K81" s="37" t="str">
        <f>CHOOSE(Invoer!$B$34,K13,K37,K61)</f>
        <v/>
      </c>
      <c r="L81" s="37" t="str">
        <f>CHOOSE(Invoer!$B$34,L13,L37,L61)</f>
        <v/>
      </c>
      <c r="M81" s="37" t="str">
        <f>CHOOSE(Invoer!$B$34,M13,M37,M61)</f>
        <v/>
      </c>
    </row>
    <row r="82" spans="1:13">
      <c r="A82" s="27" t="s">
        <v>284</v>
      </c>
      <c r="B82" s="38" t="str">
        <f>CHOOSE(Invoer!$B$34,B14,B38,B62)</f>
        <v/>
      </c>
      <c r="C82" s="38">
        <f>CHOOSE(Invoer!$B$34,C14,C38,C62)</f>
        <v>0</v>
      </c>
      <c r="D82" s="38">
        <f>CHOOSE(Invoer!$B$34,D14,D38,D62)</f>
        <v>0</v>
      </c>
      <c r="E82" s="38">
        <f>CHOOSE(Invoer!$B$34,E14,E38,E62)</f>
        <v>0</v>
      </c>
      <c r="F82" s="38">
        <f>CHOOSE(Invoer!$B$34,F14,F38,F62)</f>
        <v>0</v>
      </c>
      <c r="G82" s="38">
        <f>CHOOSE(Invoer!$B$34,G14,G38,G62)</f>
        <v>0</v>
      </c>
      <c r="H82" s="38">
        <f>CHOOSE(Invoer!$B$34,H14,H38,H62)</f>
        <v>0</v>
      </c>
      <c r="I82" s="38">
        <f>CHOOSE(Invoer!$B$34,I14,I38,I62)</f>
        <v>0</v>
      </c>
      <c r="J82" s="38">
        <f>CHOOSE(Invoer!$B$34,J14,J38,J62)</f>
        <v>0</v>
      </c>
      <c r="K82" s="38">
        <f>CHOOSE(Invoer!$B$34,K14,K38,K62)</f>
        <v>0</v>
      </c>
      <c r="L82" s="38">
        <f>CHOOSE(Invoer!$B$34,L14,L38,L62)</f>
        <v>0</v>
      </c>
      <c r="M82" s="38">
        <f>CHOOSE(Invoer!$B$34,M14,M38,M62)</f>
        <v>0</v>
      </c>
    </row>
    <row r="83" spans="1:13">
      <c r="A83" s="27" t="s">
        <v>258</v>
      </c>
      <c r="B83" s="37" t="str">
        <f>CHOOSE(Invoer!$B$34,B15,B39,B63)</f>
        <v/>
      </c>
      <c r="C83" s="37" t="str">
        <f>CHOOSE(Invoer!$B$34,C15,C39,C63)</f>
        <v/>
      </c>
      <c r="D83" s="37" t="str">
        <f>CHOOSE(Invoer!$B$34,D15,D39,D63)</f>
        <v/>
      </c>
      <c r="E83" s="37" t="str">
        <f>CHOOSE(Invoer!$B$34,E15,E39,E63)</f>
        <v/>
      </c>
      <c r="F83" s="37" t="str">
        <f>CHOOSE(Invoer!$B$34,F15,F39,F63)</f>
        <v/>
      </c>
      <c r="G83" s="37" t="str">
        <f>CHOOSE(Invoer!$B$34,G15,G39,G63)</f>
        <v/>
      </c>
      <c r="H83" s="37" t="str">
        <f>CHOOSE(Invoer!$B$34,H15,H39,H63)</f>
        <v/>
      </c>
      <c r="I83" s="37" t="str">
        <f>CHOOSE(Invoer!$B$34,I15,I39,I63)</f>
        <v/>
      </c>
      <c r="J83" s="37" t="str">
        <f>CHOOSE(Invoer!$B$34,J15,J39,J63)</f>
        <v/>
      </c>
      <c r="K83" s="37" t="str">
        <f>CHOOSE(Invoer!$B$34,K15,K39,K63)</f>
        <v/>
      </c>
      <c r="L83" s="37" t="str">
        <f>CHOOSE(Invoer!$B$34,L15,L39,L63)</f>
        <v/>
      </c>
      <c r="M83" s="37" t="str">
        <f>CHOOSE(Invoer!$B$34,M15,M39,M63)</f>
        <v/>
      </c>
    </row>
    <row r="84" spans="1:13">
      <c r="A84" s="27" t="s">
        <v>212</v>
      </c>
      <c r="B84" s="35">
        <f>CHOOSE(Invoer!$B$34,B16,B40,B64)</f>
        <v>0</v>
      </c>
      <c r="C84" s="35">
        <f>CHOOSE(Invoer!$B$34,C16,C40,C64)</f>
        <v>0</v>
      </c>
      <c r="D84" s="35">
        <f>CHOOSE(Invoer!$B$34,D16,D40,D64)</f>
        <v>0</v>
      </c>
      <c r="E84" s="35">
        <f>CHOOSE(Invoer!$B$34,E16,E40,E64)</f>
        <v>0</v>
      </c>
      <c r="F84" s="35">
        <f>CHOOSE(Invoer!$B$34,F16,F40,F64)</f>
        <v>0</v>
      </c>
      <c r="G84" s="35">
        <f>CHOOSE(Invoer!$B$34,G16,G40,G64)</f>
        <v>0</v>
      </c>
      <c r="H84" s="35">
        <f>CHOOSE(Invoer!$B$34,H16,H40,H64)</f>
        <v>0</v>
      </c>
      <c r="I84" s="35">
        <f>CHOOSE(Invoer!$B$34,I16,I40,I64)</f>
        <v>0</v>
      </c>
      <c r="J84" s="35">
        <f>CHOOSE(Invoer!$B$34,J16,J40,J64)</f>
        <v>0</v>
      </c>
      <c r="K84" s="35">
        <f>CHOOSE(Invoer!$B$34,K16,K40,K64)</f>
        <v>0</v>
      </c>
      <c r="L84" s="35">
        <f>CHOOSE(Invoer!$B$34,L16,L40,L64)</f>
        <v>0</v>
      </c>
      <c r="M84" s="35">
        <f>CHOOSE(Invoer!$B$34,M16,M40,M64)</f>
        <v>0</v>
      </c>
    </row>
    <row r="85" spans="1:13">
      <c r="A85" s="27" t="s">
        <v>261</v>
      </c>
      <c r="B85" s="37" t="str">
        <f>CHOOSE(Invoer!$B$34,B17,B41,B65)</f>
        <v/>
      </c>
      <c r="C85" s="37" t="str">
        <f>CHOOSE(Invoer!$B$34,C17,C41,C65)</f>
        <v/>
      </c>
      <c r="D85" s="37" t="str">
        <f>CHOOSE(Invoer!$B$34,D17,D41,D65)</f>
        <v/>
      </c>
      <c r="E85" s="37" t="str">
        <f>CHOOSE(Invoer!$B$34,E17,E41,E65)</f>
        <v/>
      </c>
      <c r="F85" s="37" t="str">
        <f>CHOOSE(Invoer!$B$34,F17,F41,F65)</f>
        <v/>
      </c>
      <c r="G85" s="37" t="str">
        <f>CHOOSE(Invoer!$B$34,G17,G41,G65)</f>
        <v/>
      </c>
      <c r="H85" s="37" t="str">
        <f>CHOOSE(Invoer!$B$34,H17,H41,H65)</f>
        <v/>
      </c>
      <c r="I85" s="37" t="str">
        <f>CHOOSE(Invoer!$B$34,I17,I41,I65)</f>
        <v/>
      </c>
      <c r="J85" s="37" t="str">
        <f>CHOOSE(Invoer!$B$34,J17,J41,J65)</f>
        <v/>
      </c>
      <c r="K85" s="37" t="str">
        <f>CHOOSE(Invoer!$B$34,K17,K41,K65)</f>
        <v/>
      </c>
      <c r="L85" s="37" t="str">
        <f>CHOOSE(Invoer!$B$34,L17,L41,L65)</f>
        <v/>
      </c>
      <c r="M85" s="37" t="str">
        <f>CHOOSE(Invoer!$B$34,M17,M41,M65)</f>
        <v/>
      </c>
    </row>
    <row r="86" spans="1:13">
      <c r="A86" s="27" t="s">
        <v>262</v>
      </c>
      <c r="B86" s="39" t="str">
        <f>CHOOSE(Invoer!$B$34,B18,B42,B66)</f>
        <v/>
      </c>
      <c r="C86" s="39" t="str">
        <f>CHOOSE(Invoer!$B$34,C18,C42,C66)</f>
        <v/>
      </c>
      <c r="D86" s="39" t="str">
        <f>CHOOSE(Invoer!$B$34,D18,D42,D66)</f>
        <v/>
      </c>
      <c r="E86" s="39" t="str">
        <f>CHOOSE(Invoer!$B$34,E18,E42,E66)</f>
        <v/>
      </c>
      <c r="F86" s="39" t="str">
        <f>CHOOSE(Invoer!$B$34,F18,F42,F66)</f>
        <v/>
      </c>
      <c r="G86" s="39" t="str">
        <f>CHOOSE(Invoer!$B$34,G18,G42,G66)</f>
        <v/>
      </c>
      <c r="H86" s="39" t="str">
        <f>CHOOSE(Invoer!$B$34,H18,H42,H66)</f>
        <v/>
      </c>
      <c r="I86" s="39" t="str">
        <f>CHOOSE(Invoer!$B$34,I18,I42,I66)</f>
        <v/>
      </c>
      <c r="J86" s="39" t="str">
        <f>CHOOSE(Invoer!$B$34,J18,J42,J66)</f>
        <v/>
      </c>
      <c r="K86" s="39" t="str">
        <f>CHOOSE(Invoer!$B$34,K18,K42,K66)</f>
        <v/>
      </c>
      <c r="L86" s="39" t="str">
        <f>CHOOSE(Invoer!$B$34,L18,L42,L66)</f>
        <v/>
      </c>
      <c r="M86" s="39" t="str">
        <f>CHOOSE(Invoer!$B$34,M18,M42,M66)</f>
        <v/>
      </c>
    </row>
    <row r="87" spans="1:13">
      <c r="A87" s="27" t="s">
        <v>263</v>
      </c>
      <c r="B87" s="39" t="str">
        <f>CHOOSE(Invoer!$B$34,B19,B43,B67)</f>
        <v/>
      </c>
      <c r="C87" s="39" t="str">
        <f>CHOOSE(Invoer!$B$34,C19,C43,C67)</f>
        <v/>
      </c>
      <c r="D87" s="39" t="str">
        <f>CHOOSE(Invoer!$B$34,D19,D43,D67)</f>
        <v/>
      </c>
      <c r="E87" s="39" t="str">
        <f>CHOOSE(Invoer!$B$34,E19,E43,E67)</f>
        <v/>
      </c>
      <c r="F87" s="39" t="str">
        <f>CHOOSE(Invoer!$B$34,F19,F43,F67)</f>
        <v/>
      </c>
      <c r="G87" s="39" t="str">
        <f>CHOOSE(Invoer!$B$34,G19,G43,G67)</f>
        <v/>
      </c>
      <c r="H87" s="39" t="str">
        <f>CHOOSE(Invoer!$B$34,H19,H43,H67)</f>
        <v/>
      </c>
      <c r="I87" s="39" t="str">
        <f>CHOOSE(Invoer!$B$34,I19,I43,I67)</f>
        <v/>
      </c>
      <c r="J87" s="39" t="str">
        <f>CHOOSE(Invoer!$B$34,J19,J43,J67)</f>
        <v/>
      </c>
      <c r="K87" s="39" t="str">
        <f>CHOOSE(Invoer!$B$34,K19,K43,K67)</f>
        <v/>
      </c>
      <c r="L87" s="39" t="str">
        <f>CHOOSE(Invoer!$B$34,L19,L43,L67)</f>
        <v/>
      </c>
      <c r="M87" s="39" t="str">
        <f>CHOOSE(Invoer!$B$34,M19,M43,M67)</f>
        <v/>
      </c>
    </row>
    <row r="88" spans="1:13">
      <c r="A88" s="27" t="s">
        <v>285</v>
      </c>
      <c r="B88" s="38">
        <f>CHOOSE(Invoer!$B$34,B20,B44,B68)</f>
        <v>0</v>
      </c>
    </row>
    <row r="89" spans="1:13">
      <c r="A89" s="27" t="s">
        <v>266</v>
      </c>
      <c r="B89" s="35">
        <f>CHOOSE(Invoer!$B$34,B21,B45,B69)</f>
        <v>0.1</v>
      </c>
    </row>
    <row r="90" spans="1:13">
      <c r="A90" s="27" t="s">
        <v>286</v>
      </c>
      <c r="B90" s="35">
        <f>CHOOSE(Invoer!$B$34,B22,B46,B70)</f>
        <v>2.5000000000000001E-2</v>
      </c>
    </row>
    <row r="91" spans="1:13">
      <c r="A91" s="27" t="s">
        <v>287</v>
      </c>
      <c r="B91" s="39" t="str">
        <f>CHOOSE(Invoer!$B$34,B23,B47,B71)</f>
        <v/>
      </c>
      <c r="C91" s="39" t="str">
        <f>CHOOSE(Invoer!$B$34,C23,C47,C71)</f>
        <v/>
      </c>
      <c r="D91" s="39" t="str">
        <f>CHOOSE(Invoer!$B$34,D23,D47,D71)</f>
        <v/>
      </c>
      <c r="E91" s="39" t="str">
        <f>CHOOSE(Invoer!$B$34,E23,E47,E71)</f>
        <v/>
      </c>
      <c r="F91" s="39" t="str">
        <f>CHOOSE(Invoer!$B$34,F23,F47,F71)</f>
        <v/>
      </c>
      <c r="G91" s="39" t="str">
        <f>CHOOSE(Invoer!$B$34,G23,G47,G71)</f>
        <v/>
      </c>
      <c r="H91" s="39" t="str">
        <f>CHOOSE(Invoer!$B$34,H23,H47,H71)</f>
        <v/>
      </c>
      <c r="I91" s="39" t="str">
        <f>CHOOSE(Invoer!$B$34,I23,I47,I71)</f>
        <v/>
      </c>
      <c r="J91" s="39" t="str">
        <f>CHOOSE(Invoer!$B$34,J23,J47,J71)</f>
        <v/>
      </c>
      <c r="K91" s="39" t="str">
        <f>CHOOSE(Invoer!$B$34,K23,K47,K71)</f>
        <v/>
      </c>
      <c r="L91" s="39" t="str">
        <f>CHOOSE(Invoer!$B$34,L23,L47,L71)</f>
        <v/>
      </c>
      <c r="M91" s="39" t="str">
        <f>CHOOSE(Invoer!$B$34,M23,M47,M71)</f>
        <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61"/>
  <sheetViews>
    <sheetView workbookViewId="0">
      <pane xSplit="1" ySplit="4" topLeftCell="B5" activePane="bottomRight" state="frozen"/>
      <selection pane="topRight"/>
      <selection pane="bottomLeft"/>
      <selection pane="bottomRight" activeCell="F24" sqref="F24"/>
    </sheetView>
  </sheetViews>
  <sheetFormatPr defaultRowHeight="15"/>
  <cols>
    <col min="1" max="1" width="58" customWidth="1"/>
    <col min="2" max="13" width="13.85546875" customWidth="1"/>
    <col min="14" max="14" width="50" customWidth="1"/>
  </cols>
  <sheetData>
    <row r="1" spans="1:14" ht="15.75">
      <c r="A1" s="42" t="str">
        <f>"Model: kasstroom voor de aandeelhouder, scenario "&amp;Invoer!$B$33&amp;", schaal "&amp;LOWER(Invoer!$B$35)</f>
        <v>Model: kasstroom voor de aandeelhouder, scenario Midden, schaal per aandeel</v>
      </c>
    </row>
    <row r="2" spans="1:14">
      <c r="A2" s="26" t="str">
        <f>"Bedragen in de rapportagevaluta ("&amp;Invoer!$B$7&amp;"), eenheid "&amp;LOWER(Invoer!$B$10)&amp;". Per aandeel in de rapportagevaluta; de waarde in de valuta van de notering staat onder Uitkomst."</f>
        <v>Bedragen in de rapportagevaluta (), eenheid . Per aandeel in de rapportagevaluta; de waarde in de valuta van de notering staat onder Uitkomst.</v>
      </c>
    </row>
    <row r="3" spans="1:14" ht="17.25" customHeight="1">
      <c r="A3" s="24"/>
      <c r="B3" s="24">
        <v>0</v>
      </c>
      <c r="C3" s="24">
        <v>1</v>
      </c>
      <c r="D3" s="24">
        <v>2</v>
      </c>
      <c r="E3" s="24">
        <v>3</v>
      </c>
      <c r="F3" s="24">
        <v>4</v>
      </c>
      <c r="G3" s="24">
        <v>5</v>
      </c>
      <c r="H3" s="24">
        <v>6</v>
      </c>
      <c r="I3" s="24">
        <v>7</v>
      </c>
      <c r="J3" s="24">
        <v>8</v>
      </c>
      <c r="K3" s="24">
        <v>9</v>
      </c>
      <c r="L3" s="24">
        <v>10</v>
      </c>
      <c r="M3" s="24">
        <v>11</v>
      </c>
      <c r="N3" s="24"/>
    </row>
    <row r="4" spans="1:14">
      <c r="A4" s="24" t="s">
        <v>288</v>
      </c>
      <c r="B4" s="24">
        <v>2026</v>
      </c>
      <c r="C4" s="24">
        <v>2027</v>
      </c>
      <c r="D4" s="24">
        <v>2028</v>
      </c>
      <c r="E4" s="24">
        <v>2029</v>
      </c>
      <c r="F4" s="24">
        <v>2030</v>
      </c>
      <c r="G4" s="24">
        <v>2031</v>
      </c>
      <c r="H4" s="24">
        <v>2032</v>
      </c>
      <c r="I4" s="24">
        <v>2033</v>
      </c>
      <c r="J4" s="24">
        <v>2034</v>
      </c>
      <c r="K4" s="24">
        <v>2035</v>
      </c>
      <c r="L4" s="24">
        <v>2036</v>
      </c>
      <c r="M4" s="24">
        <v>2037</v>
      </c>
      <c r="N4" s="24"/>
    </row>
    <row r="5" spans="1:14">
      <c r="A5" s="30" t="s">
        <v>535</v>
      </c>
      <c r="B5" s="43" t="str">
        <f>IF(Invoer!$B$35="Per aandeel",IF(Invoer!$B$15="","",-Invoer!$B$15/Invoer!$B$9),IF(AND(Invoer!$B$20="",Invoer!$B$17=""),"",-IF(Invoer!$B$20="",Invoer!$B$17,Invoer!$B$20)/Invoer!$B$9))</f>
        <v/>
      </c>
      <c r="C5" s="43" t="str">
        <f>IF(Invoer!$B$35="Per aandeel",IF(Parameters!C87="","",Parameters!C87),IF(Parameters!C83="","",Parameters!C83))</f>
        <v/>
      </c>
      <c r="D5" s="43" t="str">
        <f>IF(Invoer!$B$35="Per aandeel",IF(Parameters!D87="","",Parameters!D87),IF(Parameters!D83="","",Parameters!D83))</f>
        <v/>
      </c>
      <c r="E5" s="43" t="str">
        <f>IF(Invoer!$B$35="Per aandeel",IF(Parameters!E87="","",Parameters!E87),IF(Parameters!E83="","",Parameters!E83))</f>
        <v/>
      </c>
      <c r="F5" s="43" t="str">
        <f>IF(Invoer!$B$35="Per aandeel",IF(Parameters!F87="","",Parameters!F87),IF(Parameters!F83="","",Parameters!F83))</f>
        <v/>
      </c>
      <c r="G5" s="43" t="str">
        <f>IF(Invoer!$B$35="Per aandeel",IF(Parameters!G87="","",Parameters!G87),IF(Parameters!G83="","",Parameters!G83))</f>
        <v/>
      </c>
      <c r="H5" s="43" t="str">
        <f>IF(Invoer!$B$35="Per aandeel",IF(Parameters!H87="","",Parameters!H87),IF(Parameters!H83="","",Parameters!H83))</f>
        <v/>
      </c>
      <c r="I5" s="43" t="str">
        <f>IF(Invoer!$B$35="Per aandeel",IF(Parameters!I87="","",Parameters!I87),IF(Parameters!I83="","",Parameters!I83))</f>
        <v/>
      </c>
      <c r="J5" s="43" t="str">
        <f>IF(Invoer!$B$35="Per aandeel",IF(Parameters!J87="","",Parameters!J87),IF(Parameters!J83="","",Parameters!J83))</f>
        <v/>
      </c>
      <c r="K5" s="43" t="str">
        <f>IF(Invoer!$B$35="Per aandeel",IF(Parameters!K87="","",Parameters!K87),IF(Parameters!K83="","",Parameters!K83))</f>
        <v/>
      </c>
      <c r="L5" s="43" t="str">
        <f>IF(Invoer!$B$35="Per aandeel",IF(Parameters!L87="","",Parameters!L87),IF(Parameters!L83="","",Parameters!L83))</f>
        <v/>
      </c>
      <c r="M5" s="43" t="str">
        <f>IF(Invoer!$B$35="Per aandeel",IF(Parameters!M91="","",Parameters!M91),IF(OR(Parameters!M83="",Parameters!$B$88=""),"",Parameters!M83+Parameters!$B$88*Parameters!M81))</f>
        <v/>
      </c>
    </row>
    <row r="6" spans="1:14">
      <c r="A6" s="26" t="s">
        <v>533</v>
      </c>
    </row>
    <row r="7" spans="1:14">
      <c r="A7" s="27" t="s">
        <v>536</v>
      </c>
      <c r="B7" s="39" t="str">
        <f>IF(B5="","",B5/(1+$B$8)^0)</f>
        <v/>
      </c>
      <c r="C7" s="39" t="str">
        <f>IF(C5="","",C5/(1+$B$8)^1)</f>
        <v/>
      </c>
      <c r="D7" s="39" t="str">
        <f>IF(D5="","",D5/(1+$B$8)^2)</f>
        <v/>
      </c>
      <c r="E7" s="39" t="str">
        <f>IF(E5="","",E5/(1+$B$8)^3)</f>
        <v/>
      </c>
      <c r="F7" s="39" t="str">
        <f>IF(F5="","",F5/(1+$B$8)^4)</f>
        <v/>
      </c>
      <c r="G7" s="39" t="str">
        <f>IF(G5="","",G5/(1+$B$8)^5)</f>
        <v/>
      </c>
      <c r="H7" s="39" t="str">
        <f>IF(H5="","",H5/(1+$B$8)^6)</f>
        <v/>
      </c>
      <c r="I7" s="39" t="str">
        <f>IF(I5="","",I5/(1+$B$8)^7)</f>
        <v/>
      </c>
      <c r="J7" s="39" t="str">
        <f>IF(J5="","",J5/(1+$B$8)^8)</f>
        <v/>
      </c>
      <c r="K7" s="39" t="str">
        <f>IF(K5="","",K5/(1+$B$8)^9)</f>
        <v/>
      </c>
      <c r="L7" s="39" t="str">
        <f>IF(L5="","",L5/(1+$B$8)^10)</f>
        <v/>
      </c>
      <c r="M7" s="39" t="str">
        <f>IF(M5="","",M5/(1+$B$8)^11)</f>
        <v/>
      </c>
    </row>
    <row r="8" spans="1:14">
      <c r="A8" s="30" t="s">
        <v>537</v>
      </c>
      <c r="B8" s="44">
        <f>Parameters!$B$89</f>
        <v>0.1</v>
      </c>
    </row>
    <row r="9" spans="1:14">
      <c r="A9" s="30" t="s">
        <v>538</v>
      </c>
      <c r="B9" s="44" t="str">
        <f>IF(COUNT(B5:M5)&lt;12,"",IRR(B5:M5))</f>
        <v/>
      </c>
      <c r="C9" s="26" t="s">
        <v>289</v>
      </c>
    </row>
    <row r="10" spans="1:14">
      <c r="A10" s="30" t="s">
        <v>539</v>
      </c>
      <c r="B10" s="43" t="str">
        <f>IF(COUNT(B5:M5)&lt;12,"",NPV(B8,C5:M5)+B5)</f>
        <v/>
      </c>
    </row>
    <row r="11" spans="1:14">
      <c r="A11" s="27" t="s">
        <v>540</v>
      </c>
      <c r="B11" s="39" t="str">
        <f>IF(COUNT(C5:M5)&lt;11,"",NPV(B8,C5:M5))</f>
        <v/>
      </c>
    </row>
    <row r="13" spans="1:14">
      <c r="A13" s="2" t="s">
        <v>290</v>
      </c>
    </row>
    <row r="14" spans="1:14">
      <c r="A14" s="27" t="s">
        <v>291</v>
      </c>
      <c r="B14" s="35"/>
      <c r="C14" s="35" t="str">
        <f>IF(OR(Parameters!C79="",Parameters!B79="",Parameters!B79=0),"",Parameters!C79/Parameters!B79-1)</f>
        <v/>
      </c>
      <c r="D14" s="35" t="str">
        <f>IF(OR(Parameters!D79="",Parameters!C79="",Parameters!C79=0),"",Parameters!D79/Parameters!C79-1)</f>
        <v/>
      </c>
      <c r="E14" s="35" t="str">
        <f>IF(OR(Parameters!E79="",Parameters!D79="",Parameters!D79=0),"",Parameters!E79/Parameters!D79-1)</f>
        <v/>
      </c>
      <c r="F14" s="35" t="str">
        <f>IF(OR(Parameters!F79="",Parameters!E79="",Parameters!E79=0),"",Parameters!F79/Parameters!E79-1)</f>
        <v/>
      </c>
      <c r="G14" s="35" t="str">
        <f>IF(OR(Parameters!G79="",Parameters!F79="",Parameters!F79=0),"",Parameters!G79/Parameters!F79-1)</f>
        <v/>
      </c>
      <c r="H14" s="35" t="str">
        <f>IF(OR(Parameters!H79="",Parameters!G79="",Parameters!G79=0),"",Parameters!H79/Parameters!G79-1)</f>
        <v/>
      </c>
      <c r="I14" s="35" t="str">
        <f>IF(OR(Parameters!I79="",Parameters!H79="",Parameters!H79=0),"",Parameters!I79/Parameters!H79-1)</f>
        <v/>
      </c>
      <c r="J14" s="35" t="str">
        <f>IF(OR(Parameters!J79="",Parameters!I79="",Parameters!I79=0),"",Parameters!J79/Parameters!I79-1)</f>
        <v/>
      </c>
      <c r="K14" s="35" t="str">
        <f>IF(OR(Parameters!K79="",Parameters!J79="",Parameters!J79=0),"",Parameters!K79/Parameters!J79-1)</f>
        <v/>
      </c>
      <c r="L14" s="35" t="str">
        <f>IF(OR(Parameters!L79="",Parameters!K79="",Parameters!K79=0),"",Parameters!L79/Parameters!K79-1)</f>
        <v/>
      </c>
      <c r="M14" s="35" t="str">
        <f>IF(OR(Parameters!M79="",Parameters!L79="",Parameters!L79=0),"",Parameters!M79/Parameters!L79-1)</f>
        <v/>
      </c>
    </row>
    <row r="15" spans="1:14">
      <c r="A15" s="27" t="s">
        <v>190</v>
      </c>
      <c r="B15" s="37" t="str">
        <f>IF(Parameters!B79="","",Parameters!B79)</f>
        <v/>
      </c>
      <c r="C15" s="37" t="str">
        <f>IF(Parameters!C79="","",Parameters!C79)</f>
        <v/>
      </c>
      <c r="D15" s="37" t="str">
        <f>IF(Parameters!D79="","",Parameters!D79)</f>
        <v/>
      </c>
      <c r="E15" s="37" t="str">
        <f>IF(Parameters!E79="","",Parameters!E79)</f>
        <v/>
      </c>
      <c r="F15" s="37" t="str">
        <f>IF(Parameters!F79="","",Parameters!F79)</f>
        <v/>
      </c>
      <c r="G15" s="37" t="str">
        <f>IF(Parameters!G79="","",Parameters!G79)</f>
        <v/>
      </c>
      <c r="H15" s="37" t="str">
        <f>IF(Parameters!H79="","",Parameters!H79)</f>
        <v/>
      </c>
      <c r="I15" s="37" t="str">
        <f>IF(Parameters!I79="","",Parameters!I79)</f>
        <v/>
      </c>
      <c r="J15" s="37" t="str">
        <f>IF(Parameters!J79="","",Parameters!J79)</f>
        <v/>
      </c>
      <c r="K15" s="37" t="str">
        <f>IF(Parameters!K79="","",Parameters!K79)</f>
        <v/>
      </c>
      <c r="L15" s="37" t="str">
        <f>IF(Parameters!L79="","",Parameters!L79)</f>
        <v/>
      </c>
      <c r="M15" s="37" t="str">
        <f>IF(Parameters!M79="","",Parameters!M79)</f>
        <v/>
      </c>
    </row>
    <row r="16" spans="1:14">
      <c r="A16" s="27" t="s">
        <v>198</v>
      </c>
      <c r="B16" s="35" t="str">
        <f>IF(Parameters!B80="","",Parameters!B80)</f>
        <v/>
      </c>
      <c r="C16" s="35">
        <f>IF(Parameters!C80="","",Parameters!C80)</f>
        <v>0</v>
      </c>
      <c r="D16" s="35">
        <f>IF(Parameters!D80="","",Parameters!D80)</f>
        <v>0</v>
      </c>
      <c r="E16" s="35">
        <f>IF(Parameters!E80="","",Parameters!E80)</f>
        <v>0</v>
      </c>
      <c r="F16" s="35">
        <f>IF(Parameters!F80="","",Parameters!F80)</f>
        <v>0</v>
      </c>
      <c r="G16" s="35">
        <f>IF(Parameters!G80="","",Parameters!G80)</f>
        <v>0</v>
      </c>
      <c r="H16" s="35">
        <f>IF(Parameters!H80="","",Parameters!H80)</f>
        <v>0</v>
      </c>
      <c r="I16" s="35">
        <f>IF(Parameters!I80="","",Parameters!I80)</f>
        <v>0</v>
      </c>
      <c r="J16" s="35">
        <f>IF(Parameters!J80="","",Parameters!J80)</f>
        <v>0</v>
      </c>
      <c r="K16" s="35">
        <f>IF(Parameters!K80="","",Parameters!K80)</f>
        <v>0</v>
      </c>
      <c r="L16" s="35">
        <f>IF(Parameters!L80="","",Parameters!L80)</f>
        <v>0</v>
      </c>
      <c r="M16" s="35">
        <f>IF(Parameters!M80="","",Parameters!M80)</f>
        <v>0</v>
      </c>
    </row>
    <row r="17" spans="1:13">
      <c r="A17" s="27" t="s">
        <v>231</v>
      </c>
      <c r="B17" s="37" t="str">
        <f>IF(Parameters!B81="","",Parameters!B81)</f>
        <v/>
      </c>
      <c r="C17" s="37" t="str">
        <f>IF(Parameters!C81="","",Parameters!C81)</f>
        <v/>
      </c>
      <c r="D17" s="37" t="str">
        <f>IF(Parameters!D81="","",Parameters!D81)</f>
        <v/>
      </c>
      <c r="E17" s="37" t="str">
        <f>IF(Parameters!E81="","",Parameters!E81)</f>
        <v/>
      </c>
      <c r="F17" s="37" t="str">
        <f>IF(Parameters!F81="","",Parameters!F81)</f>
        <v/>
      </c>
      <c r="G17" s="37" t="str">
        <f>IF(Parameters!G81="","",Parameters!G81)</f>
        <v/>
      </c>
      <c r="H17" s="37" t="str">
        <f>IF(Parameters!H81="","",Parameters!H81)</f>
        <v/>
      </c>
      <c r="I17" s="37" t="str">
        <f>IF(Parameters!I81="","",Parameters!I81)</f>
        <v/>
      </c>
      <c r="J17" s="37" t="str">
        <f>IF(Parameters!J81="","",Parameters!J81)</f>
        <v/>
      </c>
      <c r="K17" s="37" t="str">
        <f>IF(Parameters!K81="","",Parameters!K81)</f>
        <v/>
      </c>
      <c r="L17" s="37" t="str">
        <f>IF(Parameters!L81="","",Parameters!L81)</f>
        <v/>
      </c>
      <c r="M17" s="37" t="str">
        <f>IF(Parameters!M81="","",Parameters!M81)</f>
        <v/>
      </c>
    </row>
    <row r="18" spans="1:13">
      <c r="A18" s="27" t="s">
        <v>284</v>
      </c>
      <c r="B18" s="38" t="str">
        <f>IF(Parameters!B82="","",Parameters!B82)</f>
        <v/>
      </c>
      <c r="C18" s="38">
        <f>IF(Parameters!C82="","",Parameters!C82)</f>
        <v>0</v>
      </c>
      <c r="D18" s="38">
        <f>IF(Parameters!D82="","",Parameters!D82)</f>
        <v>0</v>
      </c>
      <c r="E18" s="38">
        <f>IF(Parameters!E82="","",Parameters!E82)</f>
        <v>0</v>
      </c>
      <c r="F18" s="38">
        <f>IF(Parameters!F82="","",Parameters!F82)</f>
        <v>0</v>
      </c>
      <c r="G18" s="38">
        <f>IF(Parameters!G82="","",Parameters!G82)</f>
        <v>0</v>
      </c>
      <c r="H18" s="38">
        <f>IF(Parameters!H82="","",Parameters!H82)</f>
        <v>0</v>
      </c>
      <c r="I18" s="38">
        <f>IF(Parameters!I82="","",Parameters!I82)</f>
        <v>0</v>
      </c>
      <c r="J18" s="38">
        <f>IF(Parameters!J82="","",Parameters!J82)</f>
        <v>0</v>
      </c>
      <c r="K18" s="38">
        <f>IF(Parameters!K82="","",Parameters!K82)</f>
        <v>0</v>
      </c>
      <c r="L18" s="38">
        <f>IF(Parameters!L82="","",Parameters!L82)</f>
        <v>0</v>
      </c>
      <c r="M18" s="38">
        <f>IF(Parameters!M82="","",Parameters!M82)</f>
        <v>0</v>
      </c>
    </row>
    <row r="19" spans="1:13">
      <c r="A19" s="27" t="s">
        <v>292</v>
      </c>
      <c r="B19" s="37" t="str">
        <f>IF(Parameters!B83="","",Parameters!B83)</f>
        <v/>
      </c>
      <c r="C19" s="37" t="str">
        <f>IF(Parameters!C83="","",Parameters!C83)</f>
        <v/>
      </c>
      <c r="D19" s="37" t="str">
        <f>IF(Parameters!D83="","",Parameters!D83)</f>
        <v/>
      </c>
      <c r="E19" s="37" t="str">
        <f>IF(Parameters!E83="","",Parameters!E83)</f>
        <v/>
      </c>
      <c r="F19" s="37" t="str">
        <f>IF(Parameters!F83="","",Parameters!F83)</f>
        <v/>
      </c>
      <c r="G19" s="37" t="str">
        <f>IF(Parameters!G83="","",Parameters!G83)</f>
        <v/>
      </c>
      <c r="H19" s="37" t="str">
        <f>IF(Parameters!H83="","",Parameters!H83)</f>
        <v/>
      </c>
      <c r="I19" s="37" t="str">
        <f>IF(Parameters!I83="","",Parameters!I83)</f>
        <v/>
      </c>
      <c r="J19" s="37" t="str">
        <f>IF(Parameters!J83="","",Parameters!J83)</f>
        <v/>
      </c>
      <c r="K19" s="37" t="str">
        <f>IF(Parameters!K83="","",Parameters!K83)</f>
        <v/>
      </c>
      <c r="L19" s="37" t="str">
        <f>IF(Parameters!L83="","",Parameters!L83)</f>
        <v/>
      </c>
      <c r="M19" s="37" t="str">
        <f>IF(Parameters!M83="","",Parameters!M83)</f>
        <v/>
      </c>
    </row>
    <row r="20" spans="1:13">
      <c r="A20" s="27" t="s">
        <v>212</v>
      </c>
      <c r="B20" s="35"/>
      <c r="C20" s="35">
        <f>IF(Parameters!C84="","",Parameters!C84)</f>
        <v>0</v>
      </c>
      <c r="D20" s="35">
        <f>IF(Parameters!D84="","",Parameters!D84)</f>
        <v>0</v>
      </c>
      <c r="E20" s="35">
        <f>IF(Parameters!E84="","",Parameters!E84)</f>
        <v>0</v>
      </c>
      <c r="F20" s="35">
        <f>IF(Parameters!F84="","",Parameters!F84)</f>
        <v>0</v>
      </c>
      <c r="G20" s="35">
        <f>IF(Parameters!G84="","",Parameters!G84)</f>
        <v>0</v>
      </c>
      <c r="H20" s="35">
        <f>IF(Parameters!H84="","",Parameters!H84)</f>
        <v>0</v>
      </c>
      <c r="I20" s="35">
        <f>IF(Parameters!I84="","",Parameters!I84)</f>
        <v>0</v>
      </c>
      <c r="J20" s="35">
        <f>IF(Parameters!J84="","",Parameters!J84)</f>
        <v>0</v>
      </c>
      <c r="K20" s="35">
        <f>IF(Parameters!K84="","",Parameters!K84)</f>
        <v>0</v>
      </c>
      <c r="L20" s="35">
        <f>IF(Parameters!L84="","",Parameters!L84)</f>
        <v>0</v>
      </c>
      <c r="M20" s="35">
        <f>IF(Parameters!M84="","",Parameters!M84)</f>
        <v>0</v>
      </c>
    </row>
    <row r="21" spans="1:13">
      <c r="A21" s="27" t="s">
        <v>261</v>
      </c>
      <c r="B21" s="37" t="str">
        <f>IF(Parameters!B85="","",Parameters!B85)</f>
        <v/>
      </c>
      <c r="C21" s="37" t="str">
        <f>IF(Parameters!C85="","",Parameters!C85)</f>
        <v/>
      </c>
      <c r="D21" s="37" t="str">
        <f>IF(Parameters!D85="","",Parameters!D85)</f>
        <v/>
      </c>
      <c r="E21" s="37" t="str">
        <f>IF(Parameters!E85="","",Parameters!E85)</f>
        <v/>
      </c>
      <c r="F21" s="37" t="str">
        <f>IF(Parameters!F85="","",Parameters!F85)</f>
        <v/>
      </c>
      <c r="G21" s="37" t="str">
        <f>IF(Parameters!G85="","",Parameters!G85)</f>
        <v/>
      </c>
      <c r="H21" s="37" t="str">
        <f>IF(Parameters!H85="","",Parameters!H85)</f>
        <v/>
      </c>
      <c r="I21" s="37" t="str">
        <f>IF(Parameters!I85="","",Parameters!I85)</f>
        <v/>
      </c>
      <c r="J21" s="37" t="str">
        <f>IF(Parameters!J85="","",Parameters!J85)</f>
        <v/>
      </c>
      <c r="K21" s="37" t="str">
        <f>IF(Parameters!K85="","",Parameters!K85)</f>
        <v/>
      </c>
      <c r="L21" s="37" t="str">
        <f>IF(Parameters!L85="","",Parameters!L85)</f>
        <v/>
      </c>
      <c r="M21" s="37" t="str">
        <f>IF(Parameters!M85="","",Parameters!M85)</f>
        <v/>
      </c>
    </row>
    <row r="22" spans="1:13">
      <c r="A22" s="27" t="s">
        <v>262</v>
      </c>
      <c r="B22" s="39" t="str">
        <f>IF(Parameters!B86="","",Parameters!B86)</f>
        <v/>
      </c>
      <c r="C22" s="39" t="str">
        <f>IF(Parameters!C86="","",Parameters!C86)</f>
        <v/>
      </c>
      <c r="D22" s="39" t="str">
        <f>IF(Parameters!D86="","",Parameters!D86)</f>
        <v/>
      </c>
      <c r="E22" s="39" t="str">
        <f>IF(Parameters!E86="","",Parameters!E86)</f>
        <v/>
      </c>
      <c r="F22" s="39" t="str">
        <f>IF(Parameters!F86="","",Parameters!F86)</f>
        <v/>
      </c>
      <c r="G22" s="39" t="str">
        <f>IF(Parameters!G86="","",Parameters!G86)</f>
        <v/>
      </c>
      <c r="H22" s="39" t="str">
        <f>IF(Parameters!H86="","",Parameters!H86)</f>
        <v/>
      </c>
      <c r="I22" s="39" t="str">
        <f>IF(Parameters!I86="","",Parameters!I86)</f>
        <v/>
      </c>
      <c r="J22" s="39" t="str">
        <f>IF(Parameters!J86="","",Parameters!J86)</f>
        <v/>
      </c>
      <c r="K22" s="39" t="str">
        <f>IF(Parameters!K86="","",Parameters!K86)</f>
        <v/>
      </c>
      <c r="L22" s="39" t="str">
        <f>IF(Parameters!L86="","",Parameters!L86)</f>
        <v/>
      </c>
      <c r="M22" s="39" t="str">
        <f>IF(Parameters!M86="","",Parameters!M86)</f>
        <v/>
      </c>
    </row>
    <row r="23" spans="1:13">
      <c r="A23" s="27" t="s">
        <v>263</v>
      </c>
      <c r="B23" s="39" t="str">
        <f>IF(Parameters!B87="","",Parameters!B87)</f>
        <v/>
      </c>
      <c r="C23" s="39" t="str">
        <f>IF(Parameters!C87="","",Parameters!C87)</f>
        <v/>
      </c>
      <c r="D23" s="39" t="str">
        <f>IF(Parameters!D87="","",Parameters!D87)</f>
        <v/>
      </c>
      <c r="E23" s="39" t="str">
        <f>IF(Parameters!E87="","",Parameters!E87)</f>
        <v/>
      </c>
      <c r="F23" s="39" t="str">
        <f>IF(Parameters!F87="","",Parameters!F87)</f>
        <v/>
      </c>
      <c r="G23" s="39" t="str">
        <f>IF(Parameters!G87="","",Parameters!G87)</f>
        <v/>
      </c>
      <c r="H23" s="39" t="str">
        <f>IF(Parameters!H87="","",Parameters!H87)</f>
        <v/>
      </c>
      <c r="I23" s="39" t="str">
        <f>IF(Parameters!I87="","",Parameters!I87)</f>
        <v/>
      </c>
      <c r="J23" s="39" t="str">
        <f>IF(Parameters!J87="","",Parameters!J87)</f>
        <v/>
      </c>
      <c r="K23" s="39" t="str">
        <f>IF(Parameters!K87="","",Parameters!K87)</f>
        <v/>
      </c>
      <c r="L23" s="39" t="str">
        <f>IF(Parameters!L87="","",Parameters!L87)</f>
        <v/>
      </c>
      <c r="M23" s="39" t="str">
        <f>IF(Parameters!M87="","",Parameters!M87)</f>
        <v/>
      </c>
    </row>
    <row r="24" spans="1:13">
      <c r="A24" s="27" t="s">
        <v>293</v>
      </c>
      <c r="B24" s="37"/>
      <c r="C24" s="37"/>
      <c r="D24" s="37"/>
      <c r="E24" s="37"/>
      <c r="F24" s="37"/>
      <c r="G24" s="37"/>
      <c r="H24" s="37"/>
      <c r="I24" s="37"/>
      <c r="J24" s="37"/>
      <c r="K24" s="37"/>
      <c r="L24" s="37"/>
      <c r="M24" s="37" t="str">
        <f>IF(OR(M17="",Parameters!$B$88=""),"",Parameters!$B$88*M17)</f>
        <v/>
      </c>
    </row>
    <row r="25" spans="1:13">
      <c r="A25" s="27" t="s">
        <v>294</v>
      </c>
      <c r="B25" s="39"/>
      <c r="C25" s="39"/>
      <c r="D25" s="39"/>
      <c r="E25" s="39"/>
      <c r="F25" s="39"/>
      <c r="G25" s="39"/>
      <c r="H25" s="39"/>
      <c r="I25" s="39"/>
      <c r="J25" s="39"/>
      <c r="K25" s="39"/>
      <c r="L25" s="39"/>
      <c r="M25" s="39" t="str">
        <f>IF(OR(M22="",Parameters!$B$88=""),"",Parameters!$B$88*M22)</f>
        <v/>
      </c>
    </row>
    <row r="26" spans="1:13">
      <c r="A26" s="27" t="s">
        <v>295</v>
      </c>
      <c r="B26" s="39"/>
      <c r="C26" s="39" t="str">
        <f>IF(C23="","",C23/(1+$B$8)^1)</f>
        <v/>
      </c>
      <c r="D26" s="39" t="str">
        <f>IF(D23="","",D23/(1+$B$8)^2)</f>
        <v/>
      </c>
      <c r="E26" s="39" t="str">
        <f>IF(E23="","",E23/(1+$B$8)^3)</f>
        <v/>
      </c>
      <c r="F26" s="39" t="str">
        <f>IF(F23="","",F23/(1+$B$8)^4)</f>
        <v/>
      </c>
      <c r="G26" s="39" t="str">
        <f>IF(G23="","",G23/(1+$B$8)^5)</f>
        <v/>
      </c>
      <c r="H26" s="39" t="str">
        <f>IF(H23="","",H23/(1+$B$8)^6)</f>
        <v/>
      </c>
      <c r="I26" s="39" t="str">
        <f>IF(I23="","",I23/(1+$B$8)^7)</f>
        <v/>
      </c>
      <c r="J26" s="39" t="str">
        <f>IF(J23="","",J23/(1+$B$8)^8)</f>
        <v/>
      </c>
      <c r="K26" s="39" t="str">
        <f>IF(K23="","",K23/(1+$B$8)^9)</f>
        <v/>
      </c>
      <c r="L26" s="39" t="str">
        <f>IF(L23="","",L23/(1+$B$8)^10)</f>
        <v/>
      </c>
      <c r="M26" s="39" t="str">
        <f>IF(M23="","",M23/(1+$B$8)^11)</f>
        <v/>
      </c>
    </row>
    <row r="28" spans="1:13">
      <c r="A28" s="2" t="s">
        <v>296</v>
      </c>
    </row>
    <row r="29" spans="1:13" ht="25.5">
      <c r="A29" s="9" t="s">
        <v>297</v>
      </c>
      <c r="B29" s="45" t="str">
        <f>IF(COUNT(C26:M26)&lt;11,"",SUM(C26:M26))</f>
        <v/>
      </c>
    </row>
    <row r="30" spans="1:13">
      <c r="A30" s="9" t="s">
        <v>298</v>
      </c>
      <c r="B30" s="45" t="str">
        <f>IF(M25="","",M25/(1+$B$8)^11)</f>
        <v/>
      </c>
    </row>
    <row r="31" spans="1:13">
      <c r="A31" s="9" t="s">
        <v>299</v>
      </c>
      <c r="B31" s="45" t="str">
        <f>IF(OR(B29="",B30=""),"",B29+B30)</f>
        <v/>
      </c>
    </row>
    <row r="32" spans="1:13">
      <c r="A32" s="9" t="s">
        <v>300</v>
      </c>
      <c r="B32" s="45" t="str">
        <f>IF(B31="","",B31*Invoer!$B$9)</f>
        <v/>
      </c>
      <c r="C32" s="26" t="s">
        <v>301</v>
      </c>
    </row>
    <row r="33" spans="1:3">
      <c r="A33" s="9" t="s">
        <v>302</v>
      </c>
      <c r="B33" s="45" t="str">
        <f>IF(Invoer!$B$15="","",Invoer!$B$15)</f>
        <v/>
      </c>
    </row>
    <row r="34" spans="1:3">
      <c r="A34" s="9" t="s">
        <v>303</v>
      </c>
      <c r="B34" s="46" t="str">
        <f>IF(OR(B32="",B33="",B33=0),"",B32/B33-1)</f>
        <v/>
      </c>
    </row>
    <row r="35" spans="1:3" ht="25.5">
      <c r="A35" s="9" t="s">
        <v>304</v>
      </c>
      <c r="B35" s="46" t="str">
        <f>IF(OR(B32="",B33="",B32&lt;=0),"",1-B33/B32)</f>
        <v/>
      </c>
    </row>
    <row r="36" spans="1:3">
      <c r="A36" s="9" t="s">
        <v>305</v>
      </c>
      <c r="B36" s="46" t="str">
        <f>IF(OR(B30="",B31="",B31&lt;=0),"",B30/B31)</f>
        <v/>
      </c>
      <c r="C36" s="26" t="s">
        <v>306</v>
      </c>
    </row>
    <row r="37" spans="1:3" ht="25.5">
      <c r="A37" s="9" t="s">
        <v>307</v>
      </c>
      <c r="B37" s="46" t="str">
        <f>IF(B9="","",B9)</f>
        <v/>
      </c>
    </row>
    <row r="38" spans="1:3">
      <c r="A38" s="9" t="s">
        <v>308</v>
      </c>
      <c r="B38" s="45" t="str">
        <f>IF(OR(COUNT(C23:M23)&lt;11,M25=""),"",(SUMPRODUCT(C23:M23/(1+Invoer!$B$36)^{1,2,3,4,5,6,7,8,9,10,11})+M25/(1+Invoer!$B$36)^11)*Invoer!$B$9)</f>
        <v/>
      </c>
      <c r="C38" s="26" t="s">
        <v>309</v>
      </c>
    </row>
    <row r="40" spans="1:3">
      <c r="A40" s="2" t="s">
        <v>310</v>
      </c>
    </row>
    <row r="41" spans="1:3">
      <c r="A41" s="9" t="s">
        <v>286</v>
      </c>
      <c r="B41" s="46">
        <f>Parameters!$B$90</f>
        <v>2.5000000000000001E-2</v>
      </c>
    </row>
    <row r="42" spans="1:3" ht="25.5">
      <c r="A42" s="9" t="s">
        <v>311</v>
      </c>
      <c r="B42" s="45" t="str">
        <f>IF(OR(M23="",$B$8&lt;=B41),"",M23*(1+B41)/($B$8-B41))</f>
        <v/>
      </c>
    </row>
    <row r="43" spans="1:3" ht="25.5">
      <c r="A43" s="9" t="s">
        <v>312</v>
      </c>
      <c r="B43" s="47">
        <f>IF(OR(M18="",$B$8&lt;=B41),"",M18*(1+B41)/($B$8-B41))</f>
        <v>0</v>
      </c>
    </row>
    <row r="44" spans="1:3">
      <c r="A44" s="9" t="s">
        <v>313</v>
      </c>
      <c r="B44" s="47">
        <f>IF(Parameters!$B$88="","",Parameters!$B$88)</f>
        <v>0</v>
      </c>
    </row>
    <row r="45" spans="1:3">
      <c r="A45" s="9" t="s">
        <v>314</v>
      </c>
      <c r="B45" s="47">
        <f>IF(OR(B44="",B43=""),"",B44-B43)</f>
        <v>0</v>
      </c>
      <c r="C45" s="26" t="s">
        <v>315</v>
      </c>
    </row>
    <row r="46" spans="1:3" ht="25.5">
      <c r="A46" s="9" t="s">
        <v>316</v>
      </c>
      <c r="B46" s="45" t="str">
        <f>IF(OR(B29="",B42=""),"",(B29+B42/(1+$B$8)^11)*Invoer!$B$9)</f>
        <v/>
      </c>
      <c r="C46" s="26" t="s">
        <v>317</v>
      </c>
    </row>
    <row r="48" spans="1:3">
      <c r="A48" s="2" t="s">
        <v>318</v>
      </c>
    </row>
    <row r="49" spans="1:5" ht="32.1" customHeight="1">
      <c r="A49" s="24"/>
      <c r="B49" s="24" t="s">
        <v>319</v>
      </c>
      <c r="C49" s="24" t="s">
        <v>78</v>
      </c>
      <c r="D49" s="24" t="s">
        <v>320</v>
      </c>
      <c r="E49" s="24" t="s">
        <v>321</v>
      </c>
    </row>
    <row r="50" spans="1:5">
      <c r="A50" s="3" t="s">
        <v>283</v>
      </c>
      <c r="B50" s="46">
        <f>Parameters!$B$5</f>
        <v>0.25</v>
      </c>
      <c r="C50" s="46">
        <f>Parameters!$B$29</f>
        <v>0.5</v>
      </c>
      <c r="D50" s="46">
        <f>Parameters!$B$53</f>
        <v>0.25</v>
      </c>
    </row>
    <row r="51" spans="1:5">
      <c r="A51" s="3" t="s">
        <v>322</v>
      </c>
      <c r="B51" s="33" t="str">
        <f>IF(Parameters!$M$11="","",Parameters!$M$11)</f>
        <v/>
      </c>
      <c r="C51" s="33" t="str">
        <f>IF(Parameters!$M$35="","",Parameters!$M$35)</f>
        <v/>
      </c>
      <c r="D51" s="33" t="str">
        <f>IF(Parameters!$M$59="","",Parameters!$M$59)</f>
        <v/>
      </c>
      <c r="E51" s="33" t="str">
        <f>IF(COUNT(B51:D51)&lt;3,"",(B51*Parameters!$B$5+C51*Parameters!$B$29+D51*Parameters!$B$53)/SUM(Parameters!$B$5,Parameters!$B$29,Parameters!$B$53))</f>
        <v/>
      </c>
    </row>
    <row r="52" spans="1:5">
      <c r="A52" s="3" t="s">
        <v>323</v>
      </c>
      <c r="B52" s="46" t="str">
        <f>IF(Parameters!$M$12="","",Parameters!$M$12)</f>
        <v/>
      </c>
      <c r="C52" s="46" t="str">
        <f>IF(Parameters!$M$36="","",Parameters!$M$36)</f>
        <v/>
      </c>
      <c r="D52" s="46" t="str">
        <f>IF(Parameters!$M$60="","",Parameters!$M$60)</f>
        <v/>
      </c>
      <c r="E52" s="46" t="str">
        <f>IF(COUNT(B52:D52)&lt;3,"",(B52*Parameters!$B$5+C52*Parameters!$B$29+D52*Parameters!$B$53)/SUM(Parameters!$B$5,Parameters!$B$29,Parameters!$B$53))</f>
        <v/>
      </c>
    </row>
    <row r="53" spans="1:5">
      <c r="A53" s="3" t="s">
        <v>324</v>
      </c>
      <c r="B53" s="45" t="str">
        <f>IF(Parameters!$M$18="","",Parameters!$M$18)</f>
        <v/>
      </c>
      <c r="C53" s="45" t="str">
        <f>IF(Parameters!$M$42="","",Parameters!$M$42)</f>
        <v/>
      </c>
      <c r="D53" s="45" t="str">
        <f>IF(Parameters!$M$66="","",Parameters!$M$66)</f>
        <v/>
      </c>
      <c r="E53" s="45" t="str">
        <f>IF(COUNT(B53:D53)&lt;3,"",(B53*Parameters!$B$5+C53*Parameters!$B$29+D53*Parameters!$B$53)/SUM(Parameters!$B$5,Parameters!$B$29,Parameters!$B$53))</f>
        <v/>
      </c>
    </row>
    <row r="54" spans="1:5">
      <c r="A54" s="3" t="s">
        <v>285</v>
      </c>
      <c r="B54" s="47" t="str">
        <f>IF(Parameters!$B$20="","",Parameters!$B$20)</f>
        <v/>
      </c>
      <c r="C54" s="47" t="str">
        <f>IF(Parameters!$B$44="","",Parameters!$B$44)</f>
        <v/>
      </c>
      <c r="D54" s="47" t="str">
        <f>IF(Parameters!$B$68="","",Parameters!$B$68)</f>
        <v/>
      </c>
      <c r="E54" s="47" t="str">
        <f>IF(COUNT(B54:D54)&lt;3,"",(B54*Parameters!$B$5+C54*Parameters!$B$29+D54*Parameters!$B$53)/SUM(Parameters!$B$5,Parameters!$B$29,Parameters!$B$53))</f>
        <v/>
      </c>
    </row>
    <row r="55" spans="1:5">
      <c r="A55" s="3" t="s">
        <v>266</v>
      </c>
      <c r="B55" s="46">
        <f>Parameters!$B$21</f>
        <v>0.1</v>
      </c>
      <c r="C55" s="46">
        <f>Parameters!$B$45</f>
        <v>0.1</v>
      </c>
      <c r="D55" s="46">
        <f>Parameters!$B$69</f>
        <v>0.1</v>
      </c>
      <c r="E55" s="46">
        <f>IF(COUNT(B55:D55)&lt;3,"",(B55*Parameters!$B$5+C55*Parameters!$B$29+D55*Parameters!$B$53)/SUM(Parameters!$B$5,Parameters!$B$29,Parameters!$B$53))</f>
        <v>0.1</v>
      </c>
    </row>
    <row r="56" spans="1:5">
      <c r="A56" s="3" t="s">
        <v>325</v>
      </c>
      <c r="B56" s="45" t="str">
        <f>IF(OR(COUNT(Parameters!$C$19:$M$19)&lt;11,Parameters!$B$20="",Parameters!$M$18=""),"",(SUMPRODUCT(Parameters!$C$19:$M$19/(1+Parameters!$B$21)^{1,2,3,4,5,6,7,8,9,10,11})+Parameters!$B$20*Parameters!$M$18/(1+Parameters!$B$21)^11)*Invoer!$B$9)</f>
        <v/>
      </c>
      <c r="C56" s="45" t="str">
        <f>IF(OR(COUNT(Parameters!$C$43:$M$43)&lt;11,Parameters!$B$44="",Parameters!$M$42=""),"",(SUMPRODUCT(Parameters!$C$43:$M$43/(1+Parameters!$B$45)^{1,2,3,4,5,6,7,8,9,10,11})+Parameters!$B$44*Parameters!$M$42/(1+Parameters!$B$45)^11)*Invoer!$B$9)</f>
        <v/>
      </c>
      <c r="D56" s="45" t="str">
        <f>IF(OR(COUNT(Parameters!$C$67:$M$67)&lt;11,Parameters!$B$68="",Parameters!$M$66=""),"",(SUMPRODUCT(Parameters!$C$67:$M$67/(1+Parameters!$B$69)^{1,2,3,4,5,6,7,8,9,10,11})+Parameters!$B$68*Parameters!$M$66/(1+Parameters!$B$69)^11)*Invoer!$B$9)</f>
        <v/>
      </c>
      <c r="E56" s="45" t="str">
        <f>IF(COUNT(B56:D56)&lt;3,"",(B56*Parameters!$B$5+C56*Parameters!$B$29+D56*Parameters!$B$53)/SUM(Parameters!$B$5,Parameters!$B$29,Parameters!$B$53))</f>
        <v/>
      </c>
    </row>
    <row r="57" spans="1:5">
      <c r="A57" s="3" t="s">
        <v>326</v>
      </c>
      <c r="B57" s="46" t="str">
        <f>IF(OR(B56="",Invoer!$B$15=""),"",B56/Invoer!$B$15-1)</f>
        <v/>
      </c>
      <c r="C57" s="46" t="str">
        <f>IF(OR(C56="",Invoer!$B$15=""),"",C56/Invoer!$B$15-1)</f>
        <v/>
      </c>
      <c r="D57" s="46" t="str">
        <f>IF(OR(D56="",Invoer!$B$15=""),"",D56/Invoer!$B$15-1)</f>
        <v/>
      </c>
      <c r="E57" s="46" t="str">
        <f>IF(COUNT(B57:D57)&lt;3,"",(B57*Parameters!$B$5+C57*Parameters!$B$29+D57*Parameters!$B$53)/SUM(Parameters!$B$5,Parameters!$B$29,Parameters!$B$53))</f>
        <v/>
      </c>
    </row>
    <row r="58" spans="1:5">
      <c r="A58" s="3" t="s">
        <v>327</v>
      </c>
      <c r="B58" s="46" t="str">
        <f>IF(OR(B56="",Invoer!$B$15="",B56&lt;=0),"",1-Invoer!$B$15/B56)</f>
        <v/>
      </c>
      <c r="C58" s="46" t="str">
        <f>IF(OR(C56="",Invoer!$B$15="",C56&lt;=0),"",1-Invoer!$B$15/C56)</f>
        <v/>
      </c>
      <c r="D58" s="46" t="str">
        <f>IF(OR(D56="",Invoer!$B$15="",D56&lt;=0),"",1-Invoer!$B$15/D56)</f>
        <v/>
      </c>
      <c r="E58" s="46" t="str">
        <f>IF(COUNT(B58:D58)&lt;3,"",(B58*Parameters!$B$5+C58*Parameters!$B$29+D58*Parameters!$B$53)/SUM(Parameters!$B$5,Parameters!$B$29,Parameters!$B$53))</f>
        <v/>
      </c>
    </row>
    <row r="59" spans="1:5">
      <c r="A59" s="3" t="s">
        <v>328</v>
      </c>
      <c r="B59" s="46" t="str">
        <f>IF(COUNT(Parameters!$B$23:$M$23)&lt;12,"",IRR(Parameters!$B$23:$M$23))</f>
        <v/>
      </c>
      <c r="C59" s="46" t="str">
        <f>IF(COUNT(Parameters!$B$47:$M$47)&lt;12,"",IRR(Parameters!$B$47:$M$47))</f>
        <v/>
      </c>
      <c r="D59" s="46" t="str">
        <f>IF(COUNT(Parameters!$B$71:$M$71)&lt;12,"",IRR(Parameters!$B$71:$M$71))</f>
        <v/>
      </c>
      <c r="E59" s="46" t="str">
        <f>IF(COUNT(B59:D59)&lt;3,"",(B59*Parameters!$B$5+C59*Parameters!$B$29+D59*Parameters!$B$53)/SUM(Parameters!$B$5,Parameters!$B$29,Parameters!$B$53))</f>
        <v/>
      </c>
    </row>
    <row r="60" spans="1:5">
      <c r="A60" s="3" t="s">
        <v>308</v>
      </c>
      <c r="B60" s="45" t="str">
        <f>IF(OR(COUNT(Parameters!$C$19:$M$19)&lt;11,Parameters!$B$20="",Parameters!$M$18=""),"",(SUMPRODUCT(Parameters!$C$19:$M$19/(1+Invoer!$B$36)^{1,2,3,4,5,6,7,8,9,10,11})+Parameters!$B$20*Parameters!$M$18/(1+Invoer!$B$36)^11)*Invoer!$B$9)</f>
        <v/>
      </c>
      <c r="C60" s="45" t="str">
        <f>IF(OR(COUNT(Parameters!$C$43:$M$43)&lt;11,Parameters!$B$44="",Parameters!$M$42=""),"",(SUMPRODUCT(Parameters!$C$43:$M$43/(1+Invoer!$B$36)^{1,2,3,4,5,6,7,8,9,10,11})+Parameters!$B$44*Parameters!$M$42/(1+Invoer!$B$36)^11)*Invoer!$B$9)</f>
        <v/>
      </c>
      <c r="D60" s="45" t="str">
        <f>IF(OR(COUNT(Parameters!$C$67:$M$67)&lt;11,Parameters!$B$68="",Parameters!$M$66=""),"",(SUMPRODUCT(Parameters!$C$67:$M$67/(1+Invoer!$B$36)^{1,2,3,4,5,6,7,8,9,10,11})+Parameters!$B$68*Parameters!$M$66/(1+Invoer!$B$36)^11)*Invoer!$B$9)</f>
        <v/>
      </c>
      <c r="E60" s="45" t="str">
        <f>IF(COUNT(B60:D60)&lt;3,"",(B60*Parameters!$B$5+C60*Parameters!$B$29+D60*Parameters!$B$53)/SUM(Parameters!$B$5,Parameters!$B$29,Parameters!$B$53))</f>
        <v/>
      </c>
    </row>
    <row r="61" spans="1:5" ht="31.5" customHeight="1">
      <c r="A61" s="78" t="s">
        <v>329</v>
      </c>
      <c r="B61" s="79"/>
      <c r="C61" s="79"/>
      <c r="D61" s="79"/>
      <c r="E61" s="79"/>
    </row>
  </sheetData>
  <mergeCells count="1">
    <mergeCell ref="A61:E6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40"/>
  <sheetViews>
    <sheetView topLeftCell="A21" workbookViewId="0">
      <selection activeCell="D43" sqref="D43"/>
    </sheetView>
  </sheetViews>
  <sheetFormatPr defaultRowHeight="15"/>
  <cols>
    <col min="1" max="1" width="40" customWidth="1"/>
    <col min="2" max="13" width="13" customWidth="1"/>
    <col min="14" max="14" width="50" customWidth="1"/>
  </cols>
  <sheetData>
    <row r="1" spans="1:6">
      <c r="A1" s="2" t="s">
        <v>330</v>
      </c>
    </row>
    <row r="2" spans="1:6">
      <c r="A2" s="26" t="s">
        <v>331</v>
      </c>
    </row>
    <row r="3" spans="1:6" ht="32.1" customHeight="1">
      <c r="A3" s="24" t="s">
        <v>332</v>
      </c>
      <c r="B3" s="48">
        <f>IF(Parameters!$B$89="","",Parameters!$B$89+(-0.02))</f>
        <v>0.08</v>
      </c>
      <c r="C3" s="48">
        <f>IF(Parameters!$B$89="","",Parameters!$B$89+(-0.01))</f>
        <v>9.0000000000000011E-2</v>
      </c>
      <c r="D3" s="48">
        <f>IF(Parameters!$B$89="","",Parameters!$B$89+(0))</f>
        <v>0.1</v>
      </c>
      <c r="E3" s="48">
        <f>IF(Parameters!$B$89="","",Parameters!$B$89+(0.01))</f>
        <v>0.11</v>
      </c>
      <c r="F3" s="48">
        <f>IF(Parameters!$B$89="","",Parameters!$B$89+(0.02))</f>
        <v>0.12000000000000001</v>
      </c>
    </row>
    <row r="4" spans="1:6">
      <c r="A4" s="49">
        <f>IF(Parameters!$B$88="","",Parameters!$B$88+(-4))</f>
        <v>-4</v>
      </c>
      <c r="B4" s="45" t="str">
        <f>IF(OR($A4="",B$3="",COUNT(Model!$C$23:$M$23)&lt;11,Model!$M$22=""),"",(SUMPRODUCT(Model!$C$23:$M$23/(1+B$3)^{1,2,3,4,5,6,7,8,9,10,11})+$A4*Model!$M$22/(1+B$3)^11)*Invoer!$B$9)</f>
        <v/>
      </c>
      <c r="C4" s="45" t="str">
        <f>IF(OR($A4="",C$3="",COUNT(Model!$C$23:$M$23)&lt;11,Model!$M$22=""),"",(SUMPRODUCT(Model!$C$23:$M$23/(1+C$3)^{1,2,3,4,5,6,7,8,9,10,11})+$A4*Model!$M$22/(1+C$3)^11)*Invoer!$B$9)</f>
        <v/>
      </c>
      <c r="D4" s="45" t="str">
        <f>IF(OR($A4="",D$3="",COUNT(Model!$C$23:$M$23)&lt;11,Model!$M$22=""),"",(SUMPRODUCT(Model!$C$23:$M$23/(1+D$3)^{1,2,3,4,5,6,7,8,9,10,11})+$A4*Model!$M$22/(1+D$3)^11)*Invoer!$B$9)</f>
        <v/>
      </c>
      <c r="E4" s="45" t="str">
        <f>IF(OR($A4="",E$3="",COUNT(Model!$C$23:$M$23)&lt;11,Model!$M$22=""),"",(SUMPRODUCT(Model!$C$23:$M$23/(1+E$3)^{1,2,3,4,5,6,7,8,9,10,11})+$A4*Model!$M$22/(1+E$3)^11)*Invoer!$B$9)</f>
        <v/>
      </c>
      <c r="F4" s="45" t="str">
        <f>IF(OR($A4="",F$3="",COUNT(Model!$C$23:$M$23)&lt;11,Model!$M$22=""),"",(SUMPRODUCT(Model!$C$23:$M$23/(1+F$3)^{1,2,3,4,5,6,7,8,9,10,11})+$A4*Model!$M$22/(1+F$3)^11)*Invoer!$B$9)</f>
        <v/>
      </c>
    </row>
    <row r="5" spans="1:6">
      <c r="A5" s="49">
        <f>IF(Parameters!$B$88="","",Parameters!$B$88+(-2))</f>
        <v>-2</v>
      </c>
      <c r="B5" s="45" t="str">
        <f>IF(OR($A5="",B$3="",COUNT(Model!$C$23:$M$23)&lt;11,Model!$M$22=""),"",(SUMPRODUCT(Model!$C$23:$M$23/(1+B$3)^{1,2,3,4,5,6,7,8,9,10,11})+$A5*Model!$M$22/(1+B$3)^11)*Invoer!$B$9)</f>
        <v/>
      </c>
      <c r="C5" s="45" t="str">
        <f>IF(OR($A5="",C$3="",COUNT(Model!$C$23:$M$23)&lt;11,Model!$M$22=""),"",(SUMPRODUCT(Model!$C$23:$M$23/(1+C$3)^{1,2,3,4,5,6,7,8,9,10,11})+$A5*Model!$M$22/(1+C$3)^11)*Invoer!$B$9)</f>
        <v/>
      </c>
      <c r="D5" s="45" t="str">
        <f>IF(OR($A5="",D$3="",COUNT(Model!$C$23:$M$23)&lt;11,Model!$M$22=""),"",(SUMPRODUCT(Model!$C$23:$M$23/(1+D$3)^{1,2,3,4,5,6,7,8,9,10,11})+$A5*Model!$M$22/(1+D$3)^11)*Invoer!$B$9)</f>
        <v/>
      </c>
      <c r="E5" s="45" t="str">
        <f>IF(OR($A5="",E$3="",COUNT(Model!$C$23:$M$23)&lt;11,Model!$M$22=""),"",(SUMPRODUCT(Model!$C$23:$M$23/(1+E$3)^{1,2,3,4,5,6,7,8,9,10,11})+$A5*Model!$M$22/(1+E$3)^11)*Invoer!$B$9)</f>
        <v/>
      </c>
      <c r="F5" s="45" t="str">
        <f>IF(OR($A5="",F$3="",COUNT(Model!$C$23:$M$23)&lt;11,Model!$M$22=""),"",(SUMPRODUCT(Model!$C$23:$M$23/(1+F$3)^{1,2,3,4,5,6,7,8,9,10,11})+$A5*Model!$M$22/(1+F$3)^11)*Invoer!$B$9)</f>
        <v/>
      </c>
    </row>
    <row r="6" spans="1:6">
      <c r="A6" s="49">
        <f>IF(Parameters!$B$88="","",Parameters!$B$88+(0))</f>
        <v>0</v>
      </c>
      <c r="B6" s="45" t="str">
        <f>IF(OR($A6="",B$3="",COUNT(Model!$C$23:$M$23)&lt;11,Model!$M$22=""),"",(SUMPRODUCT(Model!$C$23:$M$23/(1+B$3)^{1,2,3,4,5,6,7,8,9,10,11})+$A6*Model!$M$22/(1+B$3)^11)*Invoer!$B$9)</f>
        <v/>
      </c>
      <c r="C6" s="45" t="str">
        <f>IF(OR($A6="",C$3="",COUNT(Model!$C$23:$M$23)&lt;11,Model!$M$22=""),"",(SUMPRODUCT(Model!$C$23:$M$23/(1+C$3)^{1,2,3,4,5,6,7,8,9,10,11})+$A6*Model!$M$22/(1+C$3)^11)*Invoer!$B$9)</f>
        <v/>
      </c>
      <c r="D6" s="45" t="str">
        <f>IF(OR($A6="",D$3="",COUNT(Model!$C$23:$M$23)&lt;11,Model!$M$22=""),"",(SUMPRODUCT(Model!$C$23:$M$23/(1+D$3)^{1,2,3,4,5,6,7,8,9,10,11})+$A6*Model!$M$22/(1+D$3)^11)*Invoer!$B$9)</f>
        <v/>
      </c>
      <c r="E6" s="45" t="str">
        <f>IF(OR($A6="",E$3="",COUNT(Model!$C$23:$M$23)&lt;11,Model!$M$22=""),"",(SUMPRODUCT(Model!$C$23:$M$23/(1+E$3)^{1,2,3,4,5,6,7,8,9,10,11})+$A6*Model!$M$22/(1+E$3)^11)*Invoer!$B$9)</f>
        <v/>
      </c>
      <c r="F6" s="45" t="str">
        <f>IF(OR($A6="",F$3="",COUNT(Model!$C$23:$M$23)&lt;11,Model!$M$22=""),"",(SUMPRODUCT(Model!$C$23:$M$23/(1+F$3)^{1,2,3,4,5,6,7,8,9,10,11})+$A6*Model!$M$22/(1+F$3)^11)*Invoer!$B$9)</f>
        <v/>
      </c>
    </row>
    <row r="7" spans="1:6">
      <c r="A7" s="49">
        <f>IF(Parameters!$B$88="","",Parameters!$B$88+(2))</f>
        <v>2</v>
      </c>
      <c r="B7" s="45" t="str">
        <f>IF(OR($A7="",B$3="",COUNT(Model!$C$23:$M$23)&lt;11,Model!$M$22=""),"",(SUMPRODUCT(Model!$C$23:$M$23/(1+B$3)^{1,2,3,4,5,6,7,8,9,10,11})+$A7*Model!$M$22/(1+B$3)^11)*Invoer!$B$9)</f>
        <v/>
      </c>
      <c r="C7" s="45" t="str">
        <f>IF(OR($A7="",C$3="",COUNT(Model!$C$23:$M$23)&lt;11,Model!$M$22=""),"",(SUMPRODUCT(Model!$C$23:$M$23/(1+C$3)^{1,2,3,4,5,6,7,8,9,10,11})+$A7*Model!$M$22/(1+C$3)^11)*Invoer!$B$9)</f>
        <v/>
      </c>
      <c r="D7" s="45" t="str">
        <f>IF(OR($A7="",D$3="",COUNT(Model!$C$23:$M$23)&lt;11,Model!$M$22=""),"",(SUMPRODUCT(Model!$C$23:$M$23/(1+D$3)^{1,2,3,4,5,6,7,8,9,10,11})+$A7*Model!$M$22/(1+D$3)^11)*Invoer!$B$9)</f>
        <v/>
      </c>
      <c r="E7" s="45" t="str">
        <f>IF(OR($A7="",E$3="",COUNT(Model!$C$23:$M$23)&lt;11,Model!$M$22=""),"",(SUMPRODUCT(Model!$C$23:$M$23/(1+E$3)^{1,2,3,4,5,6,7,8,9,10,11})+$A7*Model!$M$22/(1+E$3)^11)*Invoer!$B$9)</f>
        <v/>
      </c>
      <c r="F7" s="45" t="str">
        <f>IF(OR($A7="",F$3="",COUNT(Model!$C$23:$M$23)&lt;11,Model!$M$22=""),"",(SUMPRODUCT(Model!$C$23:$M$23/(1+F$3)^{1,2,3,4,5,6,7,8,9,10,11})+$A7*Model!$M$22/(1+F$3)^11)*Invoer!$B$9)</f>
        <v/>
      </c>
    </row>
    <row r="8" spans="1:6">
      <c r="A8" s="49">
        <f>IF(Parameters!$B$88="","",Parameters!$B$88+(4))</f>
        <v>4</v>
      </c>
      <c r="B8" s="45" t="str">
        <f>IF(OR($A8="",B$3="",COUNT(Model!$C$23:$M$23)&lt;11,Model!$M$22=""),"",(SUMPRODUCT(Model!$C$23:$M$23/(1+B$3)^{1,2,3,4,5,6,7,8,9,10,11})+$A8*Model!$M$22/(1+B$3)^11)*Invoer!$B$9)</f>
        <v/>
      </c>
      <c r="C8" s="45" t="str">
        <f>IF(OR($A8="",C$3="",COUNT(Model!$C$23:$M$23)&lt;11,Model!$M$22=""),"",(SUMPRODUCT(Model!$C$23:$M$23/(1+C$3)^{1,2,3,4,5,6,7,8,9,10,11})+$A8*Model!$M$22/(1+C$3)^11)*Invoer!$B$9)</f>
        <v/>
      </c>
      <c r="D8" s="45" t="str">
        <f>IF(OR($A8="",D$3="",COUNT(Model!$C$23:$M$23)&lt;11,Model!$M$22=""),"",(SUMPRODUCT(Model!$C$23:$M$23/(1+D$3)^{1,2,3,4,5,6,7,8,9,10,11})+$A8*Model!$M$22/(1+D$3)^11)*Invoer!$B$9)</f>
        <v/>
      </c>
      <c r="E8" s="45" t="str">
        <f>IF(OR($A8="",E$3="",COUNT(Model!$C$23:$M$23)&lt;11,Model!$M$22=""),"",(SUMPRODUCT(Model!$C$23:$M$23/(1+E$3)^{1,2,3,4,5,6,7,8,9,10,11})+$A8*Model!$M$22/(1+E$3)^11)*Invoer!$B$9)</f>
        <v/>
      </c>
      <c r="F8" s="45" t="str">
        <f>IF(OR($A8="",F$3="",COUNT(Model!$C$23:$M$23)&lt;11,Model!$M$22=""),"",(SUMPRODUCT(Model!$C$23:$M$23/(1+F$3)^{1,2,3,4,5,6,7,8,9,10,11})+$A8*Model!$M$22/(1+F$3)^11)*Invoer!$B$9)</f>
        <v/>
      </c>
    </row>
    <row r="9" spans="1:6">
      <c r="A9" s="26" t="str">
        <f>IF(Invoer!$B$15="","","Koers nu: "&amp;TEXT(Invoer!$B$15,"0.00"))</f>
        <v/>
      </c>
    </row>
    <row r="11" spans="1:6">
      <c r="A11" s="2" t="s">
        <v>333</v>
      </c>
    </row>
    <row r="12" spans="1:6">
      <c r="A12" s="26" t="s">
        <v>334</v>
      </c>
    </row>
    <row r="13" spans="1:6" ht="32.1" customHeight="1">
      <c r="A13" s="24" t="s">
        <v>335</v>
      </c>
      <c r="B13" s="50">
        <v>-0.04</v>
      </c>
      <c r="C13" s="50">
        <v>-0.02</v>
      </c>
      <c r="D13" s="50">
        <v>0</v>
      </c>
      <c r="E13" s="50">
        <v>0.02</v>
      </c>
      <c r="F13" s="50">
        <v>0.04</v>
      </c>
    </row>
    <row r="14" spans="1:6">
      <c r="A14" s="49">
        <f>IF(Parameters!$B$88="","",Parameters!$B$88+(-4))</f>
        <v>-4</v>
      </c>
      <c r="B14" s="45" t="str">
        <f>IF(OR($A14="",COUNT($B$32:$L$32)&lt;11,Parameters!$B$89="",Model!$M$21=""),"",(SUMPRODUCT($B$32:$L$32/(1+Parameters!$B$89)^{1,2,3,4,5,6,7,8,9,10,11})+$A14*($L$31*Model!$M$16/Model!$M$21)/(1+Parameters!$B$89)^11)*Invoer!$B$9)</f>
        <v/>
      </c>
      <c r="C14" s="45" t="str">
        <f>IF(OR($A14="",COUNT($B$34:$L$34)&lt;11,Parameters!$B$89="",Model!$M$21=""),"",(SUMPRODUCT($B$34:$L$34/(1+Parameters!$B$89)^{1,2,3,4,5,6,7,8,9,10,11})+$A14*($L$33*Model!$M$16/Model!$M$21)/(1+Parameters!$B$89)^11)*Invoer!$B$9)</f>
        <v/>
      </c>
      <c r="D14" s="45" t="str">
        <f>IF(OR($A14="",COUNT($B$36:$L$36)&lt;11,Parameters!$B$89="",Model!$M$21=""),"",(SUMPRODUCT($B$36:$L$36/(1+Parameters!$B$89)^{1,2,3,4,5,6,7,8,9,10,11})+$A14*($L$35*Model!$M$16/Model!$M$21)/(1+Parameters!$B$89)^11)*Invoer!$B$9)</f>
        <v/>
      </c>
      <c r="E14" s="45" t="str">
        <f>IF(OR($A14="",COUNT($B$38:$L$38)&lt;11,Parameters!$B$89="",Model!$M$21=""),"",(SUMPRODUCT($B$38:$L$38/(1+Parameters!$B$89)^{1,2,3,4,5,6,7,8,9,10,11})+$A14*($L$37*Model!$M$16/Model!$M$21)/(1+Parameters!$B$89)^11)*Invoer!$B$9)</f>
        <v/>
      </c>
      <c r="F14" s="45" t="str">
        <f>IF(OR($A14="",COUNT($B$40:$L$40)&lt;11,Parameters!$B$89="",Model!$M$21=""),"",(SUMPRODUCT($B$40:$L$40/(1+Parameters!$B$89)^{1,2,3,4,5,6,7,8,9,10,11})+$A14*($L$39*Model!$M$16/Model!$M$21)/(1+Parameters!$B$89)^11)*Invoer!$B$9)</f>
        <v/>
      </c>
    </row>
    <row r="15" spans="1:6">
      <c r="A15" s="49">
        <f>IF(Parameters!$B$88="","",Parameters!$B$88+(-2))</f>
        <v>-2</v>
      </c>
      <c r="B15" s="45" t="str">
        <f>IF(OR($A15="",COUNT($B$32:$L$32)&lt;11,Parameters!$B$89="",Model!$M$21=""),"",(SUMPRODUCT($B$32:$L$32/(1+Parameters!$B$89)^{1,2,3,4,5,6,7,8,9,10,11})+$A15*($L$31*Model!$M$16/Model!$M$21)/(1+Parameters!$B$89)^11)*Invoer!$B$9)</f>
        <v/>
      </c>
      <c r="C15" s="45" t="str">
        <f>IF(OR($A15="",COUNT($B$34:$L$34)&lt;11,Parameters!$B$89="",Model!$M$21=""),"",(SUMPRODUCT($B$34:$L$34/(1+Parameters!$B$89)^{1,2,3,4,5,6,7,8,9,10,11})+$A15*($L$33*Model!$M$16/Model!$M$21)/(1+Parameters!$B$89)^11)*Invoer!$B$9)</f>
        <v/>
      </c>
      <c r="D15" s="45" t="str">
        <f>IF(OR($A15="",COUNT($B$36:$L$36)&lt;11,Parameters!$B$89="",Model!$M$21=""),"",(SUMPRODUCT($B$36:$L$36/(1+Parameters!$B$89)^{1,2,3,4,5,6,7,8,9,10,11})+$A15*($L$35*Model!$M$16/Model!$M$21)/(1+Parameters!$B$89)^11)*Invoer!$B$9)</f>
        <v/>
      </c>
      <c r="E15" s="45" t="str">
        <f>IF(OR($A15="",COUNT($B$38:$L$38)&lt;11,Parameters!$B$89="",Model!$M$21=""),"",(SUMPRODUCT($B$38:$L$38/(1+Parameters!$B$89)^{1,2,3,4,5,6,7,8,9,10,11})+$A15*($L$37*Model!$M$16/Model!$M$21)/(1+Parameters!$B$89)^11)*Invoer!$B$9)</f>
        <v/>
      </c>
      <c r="F15" s="45" t="str">
        <f>IF(OR($A15="",COUNT($B$40:$L$40)&lt;11,Parameters!$B$89="",Model!$M$21=""),"",(SUMPRODUCT($B$40:$L$40/(1+Parameters!$B$89)^{1,2,3,4,5,6,7,8,9,10,11})+$A15*($L$39*Model!$M$16/Model!$M$21)/(1+Parameters!$B$89)^11)*Invoer!$B$9)</f>
        <v/>
      </c>
    </row>
    <row r="16" spans="1:6">
      <c r="A16" s="49">
        <f>IF(Parameters!$B$88="","",Parameters!$B$88+(0))</f>
        <v>0</v>
      </c>
      <c r="B16" s="45" t="str">
        <f>IF(OR($A16="",COUNT($B$32:$L$32)&lt;11,Parameters!$B$89="",Model!$M$21=""),"",(SUMPRODUCT($B$32:$L$32/(1+Parameters!$B$89)^{1,2,3,4,5,6,7,8,9,10,11})+$A16*($L$31*Model!$M$16/Model!$M$21)/(1+Parameters!$B$89)^11)*Invoer!$B$9)</f>
        <v/>
      </c>
      <c r="C16" s="45" t="str">
        <f>IF(OR($A16="",COUNT($B$34:$L$34)&lt;11,Parameters!$B$89="",Model!$M$21=""),"",(SUMPRODUCT($B$34:$L$34/(1+Parameters!$B$89)^{1,2,3,4,5,6,7,8,9,10,11})+$A16*($L$33*Model!$M$16/Model!$M$21)/(1+Parameters!$B$89)^11)*Invoer!$B$9)</f>
        <v/>
      </c>
      <c r="D16" s="45" t="str">
        <f>IF(OR($A16="",COUNT($B$36:$L$36)&lt;11,Parameters!$B$89="",Model!$M$21=""),"",(SUMPRODUCT($B$36:$L$36/(1+Parameters!$B$89)^{1,2,3,4,5,6,7,8,9,10,11})+$A16*($L$35*Model!$M$16/Model!$M$21)/(1+Parameters!$B$89)^11)*Invoer!$B$9)</f>
        <v/>
      </c>
      <c r="E16" s="45" t="str">
        <f>IF(OR($A16="",COUNT($B$38:$L$38)&lt;11,Parameters!$B$89="",Model!$M$21=""),"",(SUMPRODUCT($B$38:$L$38/(1+Parameters!$B$89)^{1,2,3,4,5,6,7,8,9,10,11})+$A16*($L$37*Model!$M$16/Model!$M$21)/(1+Parameters!$B$89)^11)*Invoer!$B$9)</f>
        <v/>
      </c>
      <c r="F16" s="45" t="str">
        <f>IF(OR($A16="",COUNT($B$40:$L$40)&lt;11,Parameters!$B$89="",Model!$M$21=""),"",(SUMPRODUCT($B$40:$L$40/(1+Parameters!$B$89)^{1,2,3,4,5,6,7,8,9,10,11})+$A16*($L$39*Model!$M$16/Model!$M$21)/(1+Parameters!$B$89)^11)*Invoer!$B$9)</f>
        <v/>
      </c>
    </row>
    <row r="17" spans="1:12">
      <c r="A17" s="49">
        <f>IF(Parameters!$B$88="","",Parameters!$B$88+(2))</f>
        <v>2</v>
      </c>
      <c r="B17" s="45" t="str">
        <f>IF(OR($A17="",COUNT($B$32:$L$32)&lt;11,Parameters!$B$89="",Model!$M$21=""),"",(SUMPRODUCT($B$32:$L$32/(1+Parameters!$B$89)^{1,2,3,4,5,6,7,8,9,10,11})+$A17*($L$31*Model!$M$16/Model!$M$21)/(1+Parameters!$B$89)^11)*Invoer!$B$9)</f>
        <v/>
      </c>
      <c r="C17" s="45" t="str">
        <f>IF(OR($A17="",COUNT($B$34:$L$34)&lt;11,Parameters!$B$89="",Model!$M$21=""),"",(SUMPRODUCT($B$34:$L$34/(1+Parameters!$B$89)^{1,2,3,4,5,6,7,8,9,10,11})+$A17*($L$33*Model!$M$16/Model!$M$21)/(1+Parameters!$B$89)^11)*Invoer!$B$9)</f>
        <v/>
      </c>
      <c r="D17" s="45" t="str">
        <f>IF(OR($A17="",COUNT($B$36:$L$36)&lt;11,Parameters!$B$89="",Model!$M$21=""),"",(SUMPRODUCT($B$36:$L$36/(1+Parameters!$B$89)^{1,2,3,4,5,6,7,8,9,10,11})+$A17*($L$35*Model!$M$16/Model!$M$21)/(1+Parameters!$B$89)^11)*Invoer!$B$9)</f>
        <v/>
      </c>
      <c r="E17" s="45" t="str">
        <f>IF(OR($A17="",COUNT($B$38:$L$38)&lt;11,Parameters!$B$89="",Model!$M$21=""),"",(SUMPRODUCT($B$38:$L$38/(1+Parameters!$B$89)^{1,2,3,4,5,6,7,8,9,10,11})+$A17*($L$37*Model!$M$16/Model!$M$21)/(1+Parameters!$B$89)^11)*Invoer!$B$9)</f>
        <v/>
      </c>
      <c r="F17" s="45" t="str">
        <f>IF(OR($A17="",COUNT($B$40:$L$40)&lt;11,Parameters!$B$89="",Model!$M$21=""),"",(SUMPRODUCT($B$40:$L$40/(1+Parameters!$B$89)^{1,2,3,4,5,6,7,8,9,10,11})+$A17*($L$39*Model!$M$16/Model!$M$21)/(1+Parameters!$B$89)^11)*Invoer!$B$9)</f>
        <v/>
      </c>
    </row>
    <row r="18" spans="1:12">
      <c r="A18" s="49">
        <f>IF(Parameters!$B$88="","",Parameters!$B$88+(4))</f>
        <v>4</v>
      </c>
      <c r="B18" s="45" t="str">
        <f>IF(OR($A18="",COUNT($B$32:$L$32)&lt;11,Parameters!$B$89="",Model!$M$21=""),"",(SUMPRODUCT($B$32:$L$32/(1+Parameters!$B$89)^{1,2,3,4,5,6,7,8,9,10,11})+$A18*($L$31*Model!$M$16/Model!$M$21)/(1+Parameters!$B$89)^11)*Invoer!$B$9)</f>
        <v/>
      </c>
      <c r="C18" s="45" t="str">
        <f>IF(OR($A18="",COUNT($B$34:$L$34)&lt;11,Parameters!$B$89="",Model!$M$21=""),"",(SUMPRODUCT($B$34:$L$34/(1+Parameters!$B$89)^{1,2,3,4,5,6,7,8,9,10,11})+$A18*($L$33*Model!$M$16/Model!$M$21)/(1+Parameters!$B$89)^11)*Invoer!$B$9)</f>
        <v/>
      </c>
      <c r="D18" s="45" t="str">
        <f>IF(OR($A18="",COUNT($B$36:$L$36)&lt;11,Parameters!$B$89="",Model!$M$21=""),"",(SUMPRODUCT($B$36:$L$36/(1+Parameters!$B$89)^{1,2,3,4,5,6,7,8,9,10,11})+$A18*($L$35*Model!$M$16/Model!$M$21)/(1+Parameters!$B$89)^11)*Invoer!$B$9)</f>
        <v/>
      </c>
      <c r="E18" s="45" t="str">
        <f>IF(OR($A18="",COUNT($B$38:$L$38)&lt;11,Parameters!$B$89="",Model!$M$21=""),"",(SUMPRODUCT($B$38:$L$38/(1+Parameters!$B$89)^{1,2,3,4,5,6,7,8,9,10,11})+$A18*($L$37*Model!$M$16/Model!$M$21)/(1+Parameters!$B$89)^11)*Invoer!$B$9)</f>
        <v/>
      </c>
      <c r="F18" s="45" t="str">
        <f>IF(OR($A18="",COUNT($B$40:$L$40)&lt;11,Parameters!$B$89="",Model!$M$21=""),"",(SUMPRODUCT($B$40:$L$40/(1+Parameters!$B$89)^{1,2,3,4,5,6,7,8,9,10,11})+$A18*($L$39*Model!$M$16/Model!$M$21)/(1+Parameters!$B$89)^11)*Invoer!$B$9)</f>
        <v/>
      </c>
    </row>
    <row r="20" spans="1:12">
      <c r="A20" s="2" t="s">
        <v>336</v>
      </c>
    </row>
    <row r="21" spans="1:12" ht="32.1" customHeight="1">
      <c r="A21" s="78" t="s">
        <v>337</v>
      </c>
      <c r="B21" s="79"/>
      <c r="C21" s="79"/>
      <c r="D21" s="79"/>
      <c r="E21" s="79"/>
      <c r="F21" s="79"/>
      <c r="G21" s="79"/>
      <c r="H21" s="79"/>
    </row>
    <row r="22" spans="1:12" ht="25.5">
      <c r="A22" s="9" t="s">
        <v>338</v>
      </c>
      <c r="B22" s="23">
        <v>0.1</v>
      </c>
    </row>
    <row r="23" spans="1:12" ht="25.5">
      <c r="A23" s="9" t="s">
        <v>339</v>
      </c>
      <c r="B23" s="21" t="str">
        <f>IF(OR(Model!$B$15="",COUNT(Model!$C$16:$M$16)&lt;11,COUNT(Model!$C$18:$M$18)&lt;11,COUNT(Model!$C$21:$M$21)&lt;11,Parameters!$B$88=""),"",(SUMPRODUCT(Model!$B$15*(1+Gevoeligheid!$B$22)^{1,2,3,4,5,6,7,8,9,10,11}*Model!$C$16:$M$16*Model!$C$18:$M$18/Model!$C$21:$M$21/(1+Parameters!$B$89)^{1,2,3,4,5,6,7,8,9,10,11})+Parameters!$B$88*Model!$B$15*(1+Gevoeligheid!$B$22)^11*Model!$M$16/Model!$M$21/(1+Parameters!$B$89)^11)*Invoer!$B$9)</f>
        <v/>
      </c>
    </row>
    <row r="24" spans="1:12" ht="25.5">
      <c r="A24" s="9" t="s">
        <v>340</v>
      </c>
      <c r="B24" s="51" t="str">
        <f>IF(OR(Gevoeligheid!$B$23="",Invoer!$B$15=""),"",Gevoeligheid!$B$23-Invoer!$B$15)</f>
        <v/>
      </c>
    </row>
    <row r="25" spans="1:12" ht="25.5">
      <c r="A25" s="9" t="s">
        <v>341</v>
      </c>
      <c r="B25" s="19" t="str">
        <f>IF(Historie!$M$3="","",Historie!$M$3)</f>
        <v/>
      </c>
    </row>
    <row r="26" spans="1:12">
      <c r="A26" s="9" t="s">
        <v>342</v>
      </c>
      <c r="B26" s="19" t="str">
        <f>IF(OR(Gevoeligheid!$B$22="",Historie!$M$3=""),"",Gevoeligheid!$B$22-Historie!$M$3)</f>
        <v/>
      </c>
      <c r="C26" s="74" t="s">
        <v>343</v>
      </c>
    </row>
    <row r="29" spans="1:12">
      <c r="A29" s="52" t="s">
        <v>344</v>
      </c>
    </row>
    <row r="30" spans="1:12" ht="32.1" customHeight="1">
      <c r="A30" s="24" t="s">
        <v>345</v>
      </c>
      <c r="B30" s="24" t="s">
        <v>178</v>
      </c>
      <c r="C30" s="24" t="s">
        <v>179</v>
      </c>
      <c r="D30" s="24" t="s">
        <v>180</v>
      </c>
      <c r="E30" s="24" t="s">
        <v>181</v>
      </c>
      <c r="F30" s="24" t="s">
        <v>182</v>
      </c>
      <c r="G30" s="24" t="s">
        <v>183</v>
      </c>
      <c r="H30" s="24" t="s">
        <v>184</v>
      </c>
      <c r="I30" s="24" t="s">
        <v>185</v>
      </c>
      <c r="J30" s="24" t="s">
        <v>186</v>
      </c>
      <c r="K30" s="24" t="s">
        <v>187</v>
      </c>
      <c r="L30" s="24" t="s">
        <v>237</v>
      </c>
    </row>
    <row r="31" spans="1:12">
      <c r="A31" s="26" t="s">
        <v>346</v>
      </c>
      <c r="B31" s="37" t="str">
        <f>IF(OR(Model!$B$15="",Model!C14=""),"",Model!$B$15*(1+Model!C14+(-0.04)))</f>
        <v/>
      </c>
      <c r="C31" s="37" t="str">
        <f>IF(OR(B31="",Model!D14=""),"",B31*(1+Model!D14+(-0.04)))</f>
        <v/>
      </c>
      <c r="D31" s="37" t="str">
        <f>IF(OR(C31="",Model!E14=""),"",C31*(1+Model!E14+(-0.04)))</f>
        <v/>
      </c>
      <c r="E31" s="37" t="str">
        <f>IF(OR(D31="",Model!F14=""),"",D31*(1+Model!F14+(-0.04)))</f>
        <v/>
      </c>
      <c r="F31" s="37" t="str">
        <f>IF(OR(E31="",Model!G14=""),"",E31*(1+Model!G14+(-0.04)))</f>
        <v/>
      </c>
      <c r="G31" s="37" t="str">
        <f>IF(OR(F31="",Model!H14=""),"",F31*(1+Model!H14+(-0.04)))</f>
        <v/>
      </c>
      <c r="H31" s="37" t="str">
        <f>IF(OR(G31="",Model!I14=""),"",G31*(1+Model!I14+(-0.04)))</f>
        <v/>
      </c>
      <c r="I31" s="37" t="str">
        <f>IF(OR(H31="",Model!J14=""),"",H31*(1+Model!J14+(-0.04)))</f>
        <v/>
      </c>
      <c r="J31" s="37" t="str">
        <f>IF(OR(I31="",Model!K14=""),"",I31*(1+Model!K14+(-0.04)))</f>
        <v/>
      </c>
      <c r="K31" s="37" t="str">
        <f>IF(OR(J31="",Model!L14=""),"",J31*(1+Model!L14+(-0.04)))</f>
        <v/>
      </c>
      <c r="L31" s="37" t="str">
        <f>IF(OR(K31="",Model!M14=""),"",K31*(1+Model!M14+(-0.04)))</f>
        <v/>
      </c>
    </row>
    <row r="32" spans="1:12">
      <c r="A32" s="26" t="s">
        <v>347</v>
      </c>
      <c r="B32" s="39" t="str">
        <f>IF(OR(B31="",Model!C16="",Model!C18="",Model!C21="",Model!C21=0),"",B31*Model!C16*Model!C18/Model!C21)</f>
        <v/>
      </c>
      <c r="C32" s="39" t="str">
        <f>IF(OR(C31="",Model!D16="",Model!D18="",Model!D21="",Model!D21=0),"",C31*Model!D16*Model!D18/Model!D21)</f>
        <v/>
      </c>
      <c r="D32" s="39" t="str">
        <f>IF(OR(D31="",Model!E16="",Model!E18="",Model!E21="",Model!E21=0),"",D31*Model!E16*Model!E18/Model!E21)</f>
        <v/>
      </c>
      <c r="E32" s="39" t="str">
        <f>IF(OR(E31="",Model!F16="",Model!F18="",Model!F21="",Model!F21=0),"",E31*Model!F16*Model!F18/Model!F21)</f>
        <v/>
      </c>
      <c r="F32" s="39" t="str">
        <f>IF(OR(F31="",Model!G16="",Model!G18="",Model!G21="",Model!G21=0),"",F31*Model!G16*Model!G18/Model!G21)</f>
        <v/>
      </c>
      <c r="G32" s="39" t="str">
        <f>IF(OR(G31="",Model!H16="",Model!H18="",Model!H21="",Model!H21=0),"",G31*Model!H16*Model!H18/Model!H21)</f>
        <v/>
      </c>
      <c r="H32" s="39" t="str">
        <f>IF(OR(H31="",Model!I16="",Model!I18="",Model!I21="",Model!I21=0),"",H31*Model!I16*Model!I18/Model!I21)</f>
        <v/>
      </c>
      <c r="I32" s="39" t="str">
        <f>IF(OR(I31="",Model!J16="",Model!J18="",Model!J21="",Model!J21=0),"",I31*Model!J16*Model!J18/Model!J21)</f>
        <v/>
      </c>
      <c r="J32" s="39" t="str">
        <f>IF(OR(J31="",Model!K16="",Model!K18="",Model!K21="",Model!K21=0),"",J31*Model!K16*Model!K18/Model!K21)</f>
        <v/>
      </c>
      <c r="K32" s="39" t="str">
        <f>IF(OR(K31="",Model!L16="",Model!L18="",Model!L21="",Model!L21=0),"",K31*Model!L16*Model!L18/Model!L21)</f>
        <v/>
      </c>
      <c r="L32" s="39" t="str">
        <f>IF(OR(L31="",Model!M16="",Model!M18="",Model!M21="",Model!M21=0),"",L31*Model!M16*Model!M18/Model!M21)</f>
        <v/>
      </c>
    </row>
    <row r="33" spans="1:12">
      <c r="A33" s="26" t="s">
        <v>348</v>
      </c>
      <c r="B33" s="37" t="str">
        <f>IF(OR(Model!$B$15="",Model!C14=""),"",Model!$B$15*(1+Model!C14+(-0.02)))</f>
        <v/>
      </c>
      <c r="C33" s="37" t="str">
        <f>IF(OR(B33="",Model!D14=""),"",B33*(1+Model!D14+(-0.02)))</f>
        <v/>
      </c>
      <c r="D33" s="37" t="str">
        <f>IF(OR(C33="",Model!E14=""),"",C33*(1+Model!E14+(-0.02)))</f>
        <v/>
      </c>
      <c r="E33" s="37" t="str">
        <f>IF(OR(D33="",Model!F14=""),"",D33*(1+Model!F14+(-0.02)))</f>
        <v/>
      </c>
      <c r="F33" s="37" t="str">
        <f>IF(OR(E33="",Model!G14=""),"",E33*(1+Model!G14+(-0.02)))</f>
        <v/>
      </c>
      <c r="G33" s="37" t="str">
        <f>IF(OR(F33="",Model!H14=""),"",F33*(1+Model!H14+(-0.02)))</f>
        <v/>
      </c>
      <c r="H33" s="37" t="str">
        <f>IF(OR(G33="",Model!I14=""),"",G33*(1+Model!I14+(-0.02)))</f>
        <v/>
      </c>
      <c r="I33" s="37" t="str">
        <f>IF(OR(H33="",Model!J14=""),"",H33*(1+Model!J14+(-0.02)))</f>
        <v/>
      </c>
      <c r="J33" s="37" t="str">
        <f>IF(OR(I33="",Model!K14=""),"",I33*(1+Model!K14+(-0.02)))</f>
        <v/>
      </c>
      <c r="K33" s="37" t="str">
        <f>IF(OR(J33="",Model!L14=""),"",J33*(1+Model!L14+(-0.02)))</f>
        <v/>
      </c>
      <c r="L33" s="37" t="str">
        <f>IF(OR(K33="",Model!M14=""),"",K33*(1+Model!M14+(-0.02)))</f>
        <v/>
      </c>
    </row>
    <row r="34" spans="1:12">
      <c r="A34" s="26" t="s">
        <v>347</v>
      </c>
      <c r="B34" s="39" t="str">
        <f>IF(OR(B33="",Model!C16="",Model!C18="",Model!C21="",Model!C21=0),"",B33*Model!C16*Model!C18/Model!C21)</f>
        <v/>
      </c>
      <c r="C34" s="39" t="str">
        <f>IF(OR(C33="",Model!D16="",Model!D18="",Model!D21="",Model!D21=0),"",C33*Model!D16*Model!D18/Model!D21)</f>
        <v/>
      </c>
      <c r="D34" s="39" t="str">
        <f>IF(OR(D33="",Model!E16="",Model!E18="",Model!E21="",Model!E21=0),"",D33*Model!E16*Model!E18/Model!E21)</f>
        <v/>
      </c>
      <c r="E34" s="39" t="str">
        <f>IF(OR(E33="",Model!F16="",Model!F18="",Model!F21="",Model!F21=0),"",E33*Model!F16*Model!F18/Model!F21)</f>
        <v/>
      </c>
      <c r="F34" s="39" t="str">
        <f>IF(OR(F33="",Model!G16="",Model!G18="",Model!G21="",Model!G21=0),"",F33*Model!G16*Model!G18/Model!G21)</f>
        <v/>
      </c>
      <c r="G34" s="39" t="str">
        <f>IF(OR(G33="",Model!H16="",Model!H18="",Model!H21="",Model!H21=0),"",G33*Model!H16*Model!H18/Model!H21)</f>
        <v/>
      </c>
      <c r="H34" s="39" t="str">
        <f>IF(OR(H33="",Model!I16="",Model!I18="",Model!I21="",Model!I21=0),"",H33*Model!I16*Model!I18/Model!I21)</f>
        <v/>
      </c>
      <c r="I34" s="39" t="str">
        <f>IF(OR(I33="",Model!J16="",Model!J18="",Model!J21="",Model!J21=0),"",I33*Model!J16*Model!J18/Model!J21)</f>
        <v/>
      </c>
      <c r="J34" s="39" t="str">
        <f>IF(OR(J33="",Model!K16="",Model!K18="",Model!K21="",Model!K21=0),"",J33*Model!K16*Model!K18/Model!K21)</f>
        <v/>
      </c>
      <c r="K34" s="39" t="str">
        <f>IF(OR(K33="",Model!L16="",Model!L18="",Model!L21="",Model!L21=0),"",K33*Model!L16*Model!L18/Model!L21)</f>
        <v/>
      </c>
      <c r="L34" s="39" t="str">
        <f>IF(OR(L33="",Model!M16="",Model!M18="",Model!M21="",Model!M21=0),"",L33*Model!M16*Model!M18/Model!M21)</f>
        <v/>
      </c>
    </row>
    <row r="35" spans="1:12">
      <c r="A35" s="26" t="s">
        <v>349</v>
      </c>
      <c r="B35" s="37" t="str">
        <f>IF(OR(Model!$B$15="",Model!C14=""),"",Model!$B$15*(1+Model!C14+(0)))</f>
        <v/>
      </c>
      <c r="C35" s="37" t="str">
        <f>IF(OR(B35="",Model!D14=""),"",B35*(1+Model!D14+(0)))</f>
        <v/>
      </c>
      <c r="D35" s="37" t="str">
        <f>IF(OR(C35="",Model!E14=""),"",C35*(1+Model!E14+(0)))</f>
        <v/>
      </c>
      <c r="E35" s="37" t="str">
        <f>IF(OR(D35="",Model!F14=""),"",D35*(1+Model!F14+(0)))</f>
        <v/>
      </c>
      <c r="F35" s="37" t="str">
        <f>IF(OR(E35="",Model!G14=""),"",E35*(1+Model!G14+(0)))</f>
        <v/>
      </c>
      <c r="G35" s="37" t="str">
        <f>IF(OR(F35="",Model!H14=""),"",F35*(1+Model!H14+(0)))</f>
        <v/>
      </c>
      <c r="H35" s="37" t="str">
        <f>IF(OR(G35="",Model!I14=""),"",G35*(1+Model!I14+(0)))</f>
        <v/>
      </c>
      <c r="I35" s="37" t="str">
        <f>IF(OR(H35="",Model!J14=""),"",H35*(1+Model!J14+(0)))</f>
        <v/>
      </c>
      <c r="J35" s="37" t="str">
        <f>IF(OR(I35="",Model!K14=""),"",I35*(1+Model!K14+(0)))</f>
        <v/>
      </c>
      <c r="K35" s="37" t="str">
        <f>IF(OR(J35="",Model!L14=""),"",J35*(1+Model!L14+(0)))</f>
        <v/>
      </c>
      <c r="L35" s="37" t="str">
        <f>IF(OR(K35="",Model!M14=""),"",K35*(1+Model!M14+(0)))</f>
        <v/>
      </c>
    </row>
    <row r="36" spans="1:12">
      <c r="A36" s="26" t="s">
        <v>347</v>
      </c>
      <c r="B36" s="39" t="str">
        <f>IF(OR(B35="",Model!C16="",Model!C18="",Model!C21="",Model!C21=0),"",B35*Model!C16*Model!C18/Model!C21)</f>
        <v/>
      </c>
      <c r="C36" s="39" t="str">
        <f>IF(OR(C35="",Model!D16="",Model!D18="",Model!D21="",Model!D21=0),"",C35*Model!D16*Model!D18/Model!D21)</f>
        <v/>
      </c>
      <c r="D36" s="39" t="str">
        <f>IF(OR(D35="",Model!E16="",Model!E18="",Model!E21="",Model!E21=0),"",D35*Model!E16*Model!E18/Model!E21)</f>
        <v/>
      </c>
      <c r="E36" s="39" t="str">
        <f>IF(OR(E35="",Model!F16="",Model!F18="",Model!F21="",Model!F21=0),"",E35*Model!F16*Model!F18/Model!F21)</f>
        <v/>
      </c>
      <c r="F36" s="39" t="str">
        <f>IF(OR(F35="",Model!G16="",Model!G18="",Model!G21="",Model!G21=0),"",F35*Model!G16*Model!G18/Model!G21)</f>
        <v/>
      </c>
      <c r="G36" s="39" t="str">
        <f>IF(OR(G35="",Model!H16="",Model!H18="",Model!H21="",Model!H21=0),"",G35*Model!H16*Model!H18/Model!H21)</f>
        <v/>
      </c>
      <c r="H36" s="39" t="str">
        <f>IF(OR(H35="",Model!I16="",Model!I18="",Model!I21="",Model!I21=0),"",H35*Model!I16*Model!I18/Model!I21)</f>
        <v/>
      </c>
      <c r="I36" s="39" t="str">
        <f>IF(OR(I35="",Model!J16="",Model!J18="",Model!J21="",Model!J21=0),"",I35*Model!J16*Model!J18/Model!J21)</f>
        <v/>
      </c>
      <c r="J36" s="39" t="str">
        <f>IF(OR(J35="",Model!K16="",Model!K18="",Model!K21="",Model!K21=0),"",J35*Model!K16*Model!K18/Model!K21)</f>
        <v/>
      </c>
      <c r="K36" s="39" t="str">
        <f>IF(OR(K35="",Model!L16="",Model!L18="",Model!L21="",Model!L21=0),"",K35*Model!L16*Model!L18/Model!L21)</f>
        <v/>
      </c>
      <c r="L36" s="39" t="str">
        <f>IF(OR(L35="",Model!M16="",Model!M18="",Model!M21="",Model!M21=0),"",L35*Model!M16*Model!M18/Model!M21)</f>
        <v/>
      </c>
    </row>
    <row r="37" spans="1:12">
      <c r="A37" s="26" t="s">
        <v>350</v>
      </c>
      <c r="B37" s="37" t="str">
        <f>IF(OR(Model!$B$15="",Model!C14=""),"",Model!$B$15*(1+Model!C14+(0.02)))</f>
        <v/>
      </c>
      <c r="C37" s="37" t="str">
        <f>IF(OR(B37="",Model!D14=""),"",B37*(1+Model!D14+(0.02)))</f>
        <v/>
      </c>
      <c r="D37" s="37" t="str">
        <f>IF(OR(C37="",Model!E14=""),"",C37*(1+Model!E14+(0.02)))</f>
        <v/>
      </c>
      <c r="E37" s="37" t="str">
        <f>IF(OR(D37="",Model!F14=""),"",D37*(1+Model!F14+(0.02)))</f>
        <v/>
      </c>
      <c r="F37" s="37" t="str">
        <f>IF(OR(E37="",Model!G14=""),"",E37*(1+Model!G14+(0.02)))</f>
        <v/>
      </c>
      <c r="G37" s="37" t="str">
        <f>IF(OR(F37="",Model!H14=""),"",F37*(1+Model!H14+(0.02)))</f>
        <v/>
      </c>
      <c r="H37" s="37" t="str">
        <f>IF(OR(G37="",Model!I14=""),"",G37*(1+Model!I14+(0.02)))</f>
        <v/>
      </c>
      <c r="I37" s="37" t="str">
        <f>IF(OR(H37="",Model!J14=""),"",H37*(1+Model!J14+(0.02)))</f>
        <v/>
      </c>
      <c r="J37" s="37" t="str">
        <f>IF(OR(I37="",Model!K14=""),"",I37*(1+Model!K14+(0.02)))</f>
        <v/>
      </c>
      <c r="K37" s="37" t="str">
        <f>IF(OR(J37="",Model!L14=""),"",J37*(1+Model!L14+(0.02)))</f>
        <v/>
      </c>
      <c r="L37" s="37" t="str">
        <f>IF(OR(K37="",Model!M14=""),"",K37*(1+Model!M14+(0.02)))</f>
        <v/>
      </c>
    </row>
    <row r="38" spans="1:12">
      <c r="A38" s="26" t="s">
        <v>347</v>
      </c>
      <c r="B38" s="39" t="str">
        <f>IF(OR(B37="",Model!C16="",Model!C18="",Model!C21="",Model!C21=0),"",B37*Model!C16*Model!C18/Model!C21)</f>
        <v/>
      </c>
      <c r="C38" s="39" t="str">
        <f>IF(OR(C37="",Model!D16="",Model!D18="",Model!D21="",Model!D21=0),"",C37*Model!D16*Model!D18/Model!D21)</f>
        <v/>
      </c>
      <c r="D38" s="39" t="str">
        <f>IF(OR(D37="",Model!E16="",Model!E18="",Model!E21="",Model!E21=0),"",D37*Model!E16*Model!E18/Model!E21)</f>
        <v/>
      </c>
      <c r="E38" s="39" t="str">
        <f>IF(OR(E37="",Model!F16="",Model!F18="",Model!F21="",Model!F21=0),"",E37*Model!F16*Model!F18/Model!F21)</f>
        <v/>
      </c>
      <c r="F38" s="39" t="str">
        <f>IF(OR(F37="",Model!G16="",Model!G18="",Model!G21="",Model!G21=0),"",F37*Model!G16*Model!G18/Model!G21)</f>
        <v/>
      </c>
      <c r="G38" s="39" t="str">
        <f>IF(OR(G37="",Model!H16="",Model!H18="",Model!H21="",Model!H21=0),"",G37*Model!H16*Model!H18/Model!H21)</f>
        <v/>
      </c>
      <c r="H38" s="39" t="str">
        <f>IF(OR(H37="",Model!I16="",Model!I18="",Model!I21="",Model!I21=0),"",H37*Model!I16*Model!I18/Model!I21)</f>
        <v/>
      </c>
      <c r="I38" s="39" t="str">
        <f>IF(OR(I37="",Model!J16="",Model!J18="",Model!J21="",Model!J21=0),"",I37*Model!J16*Model!J18/Model!J21)</f>
        <v/>
      </c>
      <c r="J38" s="39" t="str">
        <f>IF(OR(J37="",Model!K16="",Model!K18="",Model!K21="",Model!K21=0),"",J37*Model!K16*Model!K18/Model!K21)</f>
        <v/>
      </c>
      <c r="K38" s="39" t="str">
        <f>IF(OR(K37="",Model!L16="",Model!L18="",Model!L21="",Model!L21=0),"",K37*Model!L16*Model!L18/Model!L21)</f>
        <v/>
      </c>
      <c r="L38" s="39" t="str">
        <f>IF(OR(L37="",Model!M16="",Model!M18="",Model!M21="",Model!M21=0),"",L37*Model!M16*Model!M18/Model!M21)</f>
        <v/>
      </c>
    </row>
    <row r="39" spans="1:12">
      <c r="A39" s="26" t="s">
        <v>351</v>
      </c>
      <c r="B39" s="37" t="str">
        <f>IF(OR(Model!$B$15="",Model!C14=""),"",Model!$B$15*(1+Model!C14+(0.04)))</f>
        <v/>
      </c>
      <c r="C39" s="37" t="str">
        <f>IF(OR(B39="",Model!D14=""),"",B39*(1+Model!D14+(0.04)))</f>
        <v/>
      </c>
      <c r="D39" s="37" t="str">
        <f>IF(OR(C39="",Model!E14=""),"",C39*(1+Model!E14+(0.04)))</f>
        <v/>
      </c>
      <c r="E39" s="37" t="str">
        <f>IF(OR(D39="",Model!F14=""),"",D39*(1+Model!F14+(0.04)))</f>
        <v/>
      </c>
      <c r="F39" s="37" t="str">
        <f>IF(OR(E39="",Model!G14=""),"",E39*(1+Model!G14+(0.04)))</f>
        <v/>
      </c>
      <c r="G39" s="37" t="str">
        <f>IF(OR(F39="",Model!H14=""),"",F39*(1+Model!H14+(0.04)))</f>
        <v/>
      </c>
      <c r="H39" s="37" t="str">
        <f>IF(OR(G39="",Model!I14=""),"",G39*(1+Model!I14+(0.04)))</f>
        <v/>
      </c>
      <c r="I39" s="37" t="str">
        <f>IF(OR(H39="",Model!J14=""),"",H39*(1+Model!J14+(0.04)))</f>
        <v/>
      </c>
      <c r="J39" s="37" t="str">
        <f>IF(OR(I39="",Model!K14=""),"",I39*(1+Model!K14+(0.04)))</f>
        <v/>
      </c>
      <c r="K39" s="37" t="str">
        <f>IF(OR(J39="",Model!L14=""),"",J39*(1+Model!L14+(0.04)))</f>
        <v/>
      </c>
      <c r="L39" s="37" t="str">
        <f>IF(OR(K39="",Model!M14=""),"",K39*(1+Model!M14+(0.04)))</f>
        <v/>
      </c>
    </row>
    <row r="40" spans="1:12">
      <c r="A40" s="26" t="s">
        <v>347</v>
      </c>
      <c r="B40" s="39" t="str">
        <f>IF(OR(B39="",Model!C16="",Model!C18="",Model!C21="",Model!C21=0),"",B39*Model!C16*Model!C18/Model!C21)</f>
        <v/>
      </c>
      <c r="C40" s="39" t="str">
        <f>IF(OR(C39="",Model!D16="",Model!D18="",Model!D21="",Model!D21=0),"",C39*Model!D16*Model!D18/Model!D21)</f>
        <v/>
      </c>
      <c r="D40" s="39" t="str">
        <f>IF(OR(D39="",Model!E16="",Model!E18="",Model!E21="",Model!E21=0),"",D39*Model!E16*Model!E18/Model!E21)</f>
        <v/>
      </c>
      <c r="E40" s="39" t="str">
        <f>IF(OR(E39="",Model!F16="",Model!F18="",Model!F21="",Model!F21=0),"",E39*Model!F16*Model!F18/Model!F21)</f>
        <v/>
      </c>
      <c r="F40" s="39" t="str">
        <f>IF(OR(F39="",Model!G16="",Model!G18="",Model!G21="",Model!G21=0),"",F39*Model!G16*Model!G18/Model!G21)</f>
        <v/>
      </c>
      <c r="G40" s="39" t="str">
        <f>IF(OR(G39="",Model!H16="",Model!H18="",Model!H21="",Model!H21=0),"",G39*Model!H16*Model!H18/Model!H21)</f>
        <v/>
      </c>
      <c r="H40" s="39" t="str">
        <f>IF(OR(H39="",Model!I16="",Model!I18="",Model!I21="",Model!I21=0),"",H39*Model!I16*Model!I18/Model!I21)</f>
        <v/>
      </c>
      <c r="I40" s="39" t="str">
        <f>IF(OR(I39="",Model!J16="",Model!J18="",Model!J21="",Model!J21=0),"",I39*Model!J16*Model!J18/Model!J21)</f>
        <v/>
      </c>
      <c r="J40" s="39" t="str">
        <f>IF(OR(J39="",Model!K16="",Model!K18="",Model!K21="",Model!K21=0),"",J39*Model!K16*Model!K18/Model!K21)</f>
        <v/>
      </c>
      <c r="K40" s="39" t="str">
        <f>IF(OR(K39="",Model!L16="",Model!L18="",Model!L21="",Model!L21=0),"",K39*Model!L16*Model!L18/Model!L21)</f>
        <v/>
      </c>
      <c r="L40" s="39" t="str">
        <f>IF(OR(L39="",Model!M16="",Model!M18="",Model!M21="",Model!M21=0),"",L39*Model!M16*Model!M18/Model!M21)</f>
        <v/>
      </c>
    </row>
  </sheetData>
  <mergeCells count="1">
    <mergeCell ref="A21:H2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31"/>
  <sheetViews>
    <sheetView workbookViewId="0">
      <pane xSplit="3" ySplit="1" topLeftCell="D2" activePane="bottomRight" state="frozen"/>
      <selection pane="topRight"/>
      <selection pane="bottomLeft"/>
      <selection pane="bottomRight" activeCell="E6" sqref="E6"/>
    </sheetView>
  </sheetViews>
  <sheetFormatPr defaultRowHeight="15"/>
  <cols>
    <col min="1" max="1" width="5" customWidth="1"/>
    <col min="2" max="2" width="18" customWidth="1"/>
    <col min="3" max="3" width="46" customWidth="1"/>
    <col min="4" max="4" width="20" customWidth="1"/>
    <col min="5" max="5" width="64" customWidth="1"/>
    <col min="6" max="6" width="24" customWidth="1"/>
    <col min="7" max="7" width="44" customWidth="1"/>
  </cols>
  <sheetData>
    <row r="1" spans="1:7" ht="32.1" customHeight="1">
      <c r="A1" s="24" t="s">
        <v>352</v>
      </c>
      <c r="B1" s="24" t="s">
        <v>353</v>
      </c>
      <c r="C1" s="24" t="s">
        <v>354</v>
      </c>
      <c r="D1" s="24" t="s">
        <v>355</v>
      </c>
      <c r="E1" s="24" t="s">
        <v>356</v>
      </c>
      <c r="F1" s="24" t="s">
        <v>357</v>
      </c>
      <c r="G1" s="24" t="s">
        <v>358</v>
      </c>
    </row>
    <row r="2" spans="1:7" ht="75" customHeight="1">
      <c r="A2" s="75">
        <v>1</v>
      </c>
      <c r="B2" s="75" t="s">
        <v>359</v>
      </c>
      <c r="C2" s="75" t="s">
        <v>360</v>
      </c>
      <c r="D2" s="76"/>
      <c r="E2" s="77"/>
      <c r="F2" s="77"/>
      <c r="G2" s="77"/>
    </row>
    <row r="3" spans="1:7" ht="75" customHeight="1">
      <c r="A3" s="75">
        <v>2</v>
      </c>
      <c r="B3" s="75" t="s">
        <v>359</v>
      </c>
      <c r="C3" s="75" t="s">
        <v>361</v>
      </c>
      <c r="D3" s="76"/>
      <c r="E3" s="77"/>
      <c r="F3" s="77"/>
      <c r="G3" s="77"/>
    </row>
    <row r="4" spans="1:7" ht="75" customHeight="1">
      <c r="A4" s="75">
        <v>3</v>
      </c>
      <c r="B4" s="75" t="s">
        <v>359</v>
      </c>
      <c r="C4" s="75" t="s">
        <v>362</v>
      </c>
      <c r="D4" s="76"/>
      <c r="E4" s="77"/>
      <c r="F4" s="77"/>
      <c r="G4" s="77"/>
    </row>
    <row r="5" spans="1:7" ht="75" customHeight="1">
      <c r="A5" s="75">
        <v>4</v>
      </c>
      <c r="B5" s="75" t="s">
        <v>359</v>
      </c>
      <c r="C5" s="75" t="s">
        <v>363</v>
      </c>
      <c r="D5" s="76"/>
      <c r="E5" s="77"/>
      <c r="F5" s="77"/>
      <c r="G5" s="77"/>
    </row>
    <row r="6" spans="1:7" ht="75" customHeight="1">
      <c r="A6" s="75">
        <v>5</v>
      </c>
      <c r="B6" s="75" t="s">
        <v>359</v>
      </c>
      <c r="C6" s="75" t="s">
        <v>364</v>
      </c>
      <c r="D6" s="76"/>
      <c r="E6" s="77"/>
      <c r="F6" s="77"/>
      <c r="G6" s="77"/>
    </row>
    <row r="7" spans="1:7" ht="75" customHeight="1">
      <c r="A7" s="75">
        <v>6</v>
      </c>
      <c r="B7" s="75" t="s">
        <v>359</v>
      </c>
      <c r="C7" s="75" t="s">
        <v>365</v>
      </c>
      <c r="D7" s="76"/>
      <c r="E7" s="77"/>
      <c r="F7" s="77"/>
      <c r="G7" s="77"/>
    </row>
    <row r="8" spans="1:7" ht="75" customHeight="1">
      <c r="A8" s="75">
        <v>7</v>
      </c>
      <c r="B8" s="75" t="s">
        <v>366</v>
      </c>
      <c r="C8" s="75" t="s">
        <v>367</v>
      </c>
      <c r="D8" s="76"/>
      <c r="E8" s="77"/>
      <c r="F8" s="77"/>
      <c r="G8" s="77"/>
    </row>
    <row r="9" spans="1:7" ht="75" customHeight="1">
      <c r="A9" s="75">
        <v>8</v>
      </c>
      <c r="B9" s="75" t="s">
        <v>366</v>
      </c>
      <c r="C9" s="75" t="s">
        <v>368</v>
      </c>
      <c r="D9" s="76"/>
      <c r="E9" s="77"/>
      <c r="F9" s="77"/>
      <c r="G9" s="77"/>
    </row>
    <row r="10" spans="1:7" ht="75" customHeight="1">
      <c r="A10" s="75">
        <v>9</v>
      </c>
      <c r="B10" s="75" t="s">
        <v>366</v>
      </c>
      <c r="C10" s="75" t="s">
        <v>369</v>
      </c>
      <c r="D10" s="76"/>
      <c r="E10" s="77"/>
      <c r="F10" s="77"/>
      <c r="G10" s="77"/>
    </row>
    <row r="11" spans="1:7" ht="75" customHeight="1">
      <c r="A11" s="75">
        <v>10</v>
      </c>
      <c r="B11" s="75" t="s">
        <v>366</v>
      </c>
      <c r="C11" s="75" t="s">
        <v>370</v>
      </c>
      <c r="D11" s="76"/>
      <c r="E11" s="77"/>
      <c r="F11" s="77"/>
      <c r="G11" s="77"/>
    </row>
    <row r="12" spans="1:7" ht="75" customHeight="1">
      <c r="A12" s="75">
        <v>11</v>
      </c>
      <c r="B12" s="75" t="s">
        <v>366</v>
      </c>
      <c r="C12" s="75" t="s">
        <v>371</v>
      </c>
      <c r="D12" s="76"/>
      <c r="E12" s="77"/>
      <c r="F12" s="77"/>
      <c r="G12" s="77"/>
    </row>
    <row r="13" spans="1:7" ht="75" customHeight="1">
      <c r="A13" s="75">
        <v>12</v>
      </c>
      <c r="B13" s="75" t="s">
        <v>366</v>
      </c>
      <c r="C13" s="75" t="s">
        <v>372</v>
      </c>
      <c r="D13" s="76"/>
      <c r="E13" s="77"/>
      <c r="F13" s="77"/>
      <c r="G13" s="77"/>
    </row>
    <row r="14" spans="1:7" ht="75" customHeight="1">
      <c r="A14" s="75">
        <v>13</v>
      </c>
      <c r="B14" s="75" t="s">
        <v>373</v>
      </c>
      <c r="C14" s="75" t="s">
        <v>374</v>
      </c>
      <c r="D14" s="76"/>
      <c r="E14" s="77"/>
      <c r="F14" s="77"/>
      <c r="G14" s="77"/>
    </row>
    <row r="15" spans="1:7" ht="75" customHeight="1">
      <c r="A15" s="75">
        <v>14</v>
      </c>
      <c r="B15" s="75" t="s">
        <v>373</v>
      </c>
      <c r="C15" s="75" t="s">
        <v>375</v>
      </c>
      <c r="D15" s="76"/>
      <c r="E15" s="77"/>
      <c r="F15" s="77"/>
      <c r="G15" s="77"/>
    </row>
    <row r="16" spans="1:7" ht="75" customHeight="1">
      <c r="A16" s="75">
        <v>15</v>
      </c>
      <c r="B16" s="75" t="s">
        <v>373</v>
      </c>
      <c r="C16" s="75" t="s">
        <v>376</v>
      </c>
      <c r="D16" s="76"/>
      <c r="E16" s="77"/>
      <c r="F16" s="77"/>
      <c r="G16" s="77"/>
    </row>
    <row r="17" spans="1:7" ht="75" customHeight="1">
      <c r="A17" s="75">
        <v>16</v>
      </c>
      <c r="B17" s="75" t="s">
        <v>373</v>
      </c>
      <c r="C17" s="75" t="s">
        <v>377</v>
      </c>
      <c r="D17" s="76"/>
      <c r="E17" s="77"/>
      <c r="F17" s="77"/>
      <c r="G17" s="77"/>
    </row>
    <row r="18" spans="1:7" ht="75" customHeight="1">
      <c r="A18" s="75">
        <v>17</v>
      </c>
      <c r="B18" s="75" t="s">
        <v>373</v>
      </c>
      <c r="C18" s="75" t="s">
        <v>378</v>
      </c>
      <c r="D18" s="76"/>
      <c r="E18" s="77"/>
      <c r="F18" s="77"/>
      <c r="G18" s="77"/>
    </row>
    <row r="19" spans="1:7" ht="75" customHeight="1">
      <c r="A19" s="75">
        <v>18</v>
      </c>
      <c r="B19" s="75" t="s">
        <v>373</v>
      </c>
      <c r="C19" s="75" t="s">
        <v>379</v>
      </c>
      <c r="D19" s="76"/>
      <c r="E19" s="77"/>
      <c r="F19" s="77"/>
      <c r="G19" s="77"/>
    </row>
    <row r="20" spans="1:7" ht="75" customHeight="1">
      <c r="A20" s="75">
        <v>19</v>
      </c>
      <c r="B20" s="75" t="s">
        <v>380</v>
      </c>
      <c r="C20" s="75" t="s">
        <v>381</v>
      </c>
      <c r="D20" s="76"/>
      <c r="E20" s="77"/>
      <c r="F20" s="77"/>
      <c r="G20" s="77"/>
    </row>
    <row r="21" spans="1:7" ht="75" customHeight="1">
      <c r="A21" s="75">
        <v>20</v>
      </c>
      <c r="B21" s="75" t="s">
        <v>380</v>
      </c>
      <c r="C21" s="75" t="s">
        <v>382</v>
      </c>
      <c r="D21" s="76"/>
      <c r="E21" s="77"/>
      <c r="F21" s="77"/>
      <c r="G21" s="77"/>
    </row>
    <row r="22" spans="1:7" ht="75" customHeight="1">
      <c r="A22" s="75">
        <v>21</v>
      </c>
      <c r="B22" s="75" t="s">
        <v>380</v>
      </c>
      <c r="C22" s="75" t="s">
        <v>383</v>
      </c>
      <c r="D22" s="76"/>
      <c r="E22" s="77"/>
      <c r="F22" s="77"/>
      <c r="G22" s="77"/>
    </row>
    <row r="23" spans="1:7" ht="75" customHeight="1">
      <c r="A23" s="75">
        <v>22</v>
      </c>
      <c r="B23" s="75" t="s">
        <v>380</v>
      </c>
      <c r="C23" s="75" t="s">
        <v>384</v>
      </c>
      <c r="D23" s="76"/>
      <c r="E23" s="77"/>
      <c r="F23" s="77"/>
      <c r="G23" s="77"/>
    </row>
    <row r="24" spans="1:7" ht="75" customHeight="1">
      <c r="A24" s="75">
        <v>23</v>
      </c>
      <c r="B24" s="75" t="s">
        <v>380</v>
      </c>
      <c r="C24" s="75" t="s">
        <v>385</v>
      </c>
      <c r="D24" s="76"/>
      <c r="E24" s="77"/>
      <c r="F24" s="77"/>
      <c r="G24" s="77"/>
    </row>
    <row r="25" spans="1:7" ht="75" customHeight="1">
      <c r="A25" s="75">
        <v>24</v>
      </c>
      <c r="B25" s="75" t="s">
        <v>386</v>
      </c>
      <c r="C25" s="75" t="s">
        <v>387</v>
      </c>
      <c r="D25" s="76"/>
      <c r="E25" s="77"/>
      <c r="F25" s="77"/>
      <c r="G25" s="77"/>
    </row>
    <row r="26" spans="1:7" ht="75" customHeight="1">
      <c r="A26" s="75">
        <v>25</v>
      </c>
      <c r="B26" s="75" t="s">
        <v>386</v>
      </c>
      <c r="C26" s="75" t="s">
        <v>388</v>
      </c>
      <c r="D26" s="76"/>
      <c r="E26" s="77"/>
      <c r="F26" s="77"/>
      <c r="G26" s="77"/>
    </row>
    <row r="27" spans="1:7" ht="75" customHeight="1">
      <c r="A27" s="75">
        <v>26</v>
      </c>
      <c r="B27" s="75" t="s">
        <v>386</v>
      </c>
      <c r="C27" s="75" t="s">
        <v>389</v>
      </c>
      <c r="D27" s="76"/>
      <c r="E27" s="77"/>
      <c r="F27" s="77"/>
      <c r="G27" s="77"/>
    </row>
    <row r="28" spans="1:7" ht="75" customHeight="1">
      <c r="A28" s="75">
        <v>27</v>
      </c>
      <c r="B28" s="75" t="s">
        <v>386</v>
      </c>
      <c r="C28" s="75" t="s">
        <v>390</v>
      </c>
      <c r="D28" s="76"/>
      <c r="E28" s="77"/>
      <c r="F28" s="77"/>
      <c r="G28" s="77"/>
    </row>
    <row r="29" spans="1:7" ht="75" customHeight="1">
      <c r="A29" s="75">
        <v>28</v>
      </c>
      <c r="B29" s="75" t="s">
        <v>386</v>
      </c>
      <c r="C29" s="75" t="s">
        <v>391</v>
      </c>
      <c r="D29" s="76"/>
      <c r="E29" s="77"/>
      <c r="F29" s="77"/>
      <c r="G29" s="77"/>
    </row>
    <row r="31" spans="1:7" ht="19.5" customHeight="1">
      <c r="C31" s="78" t="s">
        <v>392</v>
      </c>
      <c r="D31" s="79"/>
      <c r="E31" s="79"/>
      <c r="F31" s="79"/>
      <c r="G31" s="79"/>
    </row>
  </sheetData>
  <mergeCells count="1">
    <mergeCell ref="C31:G31"/>
  </mergeCells>
  <dataValidations count="1">
    <dataValidation type="list" allowBlank="1" errorTitle="Ongeldige waarde" error="Kies een waarde uit de lijst." sqref="D2:D29" xr:uid="{00000000-0002-0000-0700-000000000000}">
      <formula1>"Niet gevonden,Gevonden, licht,Gevonden, ernstig,Niet onderzocht"</formula1>
    </dataValidation>
  </dataValidation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62"/>
  <sheetViews>
    <sheetView workbookViewId="0">
      <selection activeCell="B12" sqref="B12"/>
    </sheetView>
  </sheetViews>
  <sheetFormatPr defaultRowHeight="15"/>
  <cols>
    <col min="1" max="1" width="51.7109375" customWidth="1"/>
    <col min="2" max="2" width="18" customWidth="1"/>
    <col min="3" max="3" width="36" customWidth="1"/>
    <col min="4" max="4" width="16" customWidth="1"/>
    <col min="5" max="6" width="14" customWidth="1"/>
    <col min="7" max="7" width="50" customWidth="1"/>
    <col min="8" max="8" width="30" customWidth="1"/>
  </cols>
  <sheetData>
    <row r="1" spans="1:3">
      <c r="A1" s="2" t="s">
        <v>393</v>
      </c>
    </row>
    <row r="2" spans="1:3">
      <c r="A2" s="9" t="s">
        <v>394</v>
      </c>
      <c r="B2" s="54"/>
    </row>
    <row r="3" spans="1:3">
      <c r="A3" s="9" t="s">
        <v>395</v>
      </c>
      <c r="B3" s="10"/>
    </row>
    <row r="4" spans="1:3">
      <c r="A4" s="9" t="s">
        <v>396</v>
      </c>
      <c r="B4" s="14"/>
      <c r="C4" s="74" t="s">
        <v>397</v>
      </c>
    </row>
    <row r="5" spans="1:3">
      <c r="A5" s="9" t="s">
        <v>398</v>
      </c>
      <c r="B5" s="10"/>
    </row>
    <row r="6" spans="1:3">
      <c r="A6" s="9" t="s">
        <v>399</v>
      </c>
      <c r="B6" s="10"/>
    </row>
    <row r="7" spans="1:3">
      <c r="A7" s="9" t="s">
        <v>400</v>
      </c>
      <c r="B7" s="15"/>
    </row>
    <row r="8" spans="1:3">
      <c r="A8" s="9" t="s">
        <v>401</v>
      </c>
      <c r="B8" s="15"/>
    </row>
    <row r="9" spans="1:3">
      <c r="A9" s="9" t="s">
        <v>402</v>
      </c>
      <c r="B9" s="14"/>
    </row>
    <row r="10" spans="1:3">
      <c r="A10" s="9" t="s">
        <v>403</v>
      </c>
      <c r="B10" s="14"/>
    </row>
    <row r="11" spans="1:3">
      <c r="A11" s="9" t="s">
        <v>404</v>
      </c>
      <c r="B11" s="17" t="str">
        <f>IF(Parameters!$C$35="","",Parameters!$C$35)</f>
        <v/>
      </c>
    </row>
    <row r="12" spans="1:3">
      <c r="A12" s="9" t="s">
        <v>405</v>
      </c>
      <c r="B12" s="17" t="str">
        <f>IF(Parameters!$D$35="","",Parameters!$D$35)</f>
        <v/>
      </c>
    </row>
    <row r="13" spans="1:3">
      <c r="A13" s="9" t="s">
        <v>406</v>
      </c>
      <c r="B13" s="21" t="str">
        <f>IF(Parameters!$C$42="","",Parameters!$C$42)</f>
        <v/>
      </c>
    </row>
    <row r="14" spans="1:3">
      <c r="A14" s="9" t="s">
        <v>407</v>
      </c>
      <c r="B14" s="21" t="str">
        <f>IF(Parameters!$D$42="","",Parameters!$D$42)</f>
        <v/>
      </c>
    </row>
    <row r="15" spans="1:3">
      <c r="A15" s="9" t="s">
        <v>408</v>
      </c>
      <c r="B15" s="19" t="str">
        <f>IF(OR(Analisten!$B$12="",Analisten!$B$8="",Analisten!$B$8=0),"",Analisten!$B$12/Analisten!$B$8-1)</f>
        <v/>
      </c>
      <c r="C15" s="74" t="s">
        <v>409</v>
      </c>
    </row>
    <row r="16" spans="1:3">
      <c r="A16" s="9" t="s">
        <v>410</v>
      </c>
      <c r="B16" s="19" t="str">
        <f>IF(OR(Analisten!$B$14="",Analisten!$B$10="",Analisten!$B$10=0),"",Analisten!$B$14/Analisten!$B$10-1)</f>
        <v/>
      </c>
      <c r="C16" s="74" t="s">
        <v>409</v>
      </c>
    </row>
    <row r="18" spans="1:8">
      <c r="A18" s="2" t="s">
        <v>411</v>
      </c>
    </row>
    <row r="19" spans="1:8" ht="32.1" customHeight="1">
      <c r="A19" s="24" t="s">
        <v>412</v>
      </c>
      <c r="B19" s="24" t="s">
        <v>534</v>
      </c>
      <c r="C19" s="24" t="s">
        <v>413</v>
      </c>
      <c r="D19" s="24" t="s">
        <v>414</v>
      </c>
      <c r="E19" s="24" t="s">
        <v>415</v>
      </c>
      <c r="F19" s="24" t="s">
        <v>416</v>
      </c>
      <c r="G19" s="24" t="s">
        <v>417</v>
      </c>
      <c r="H19" s="24" t="s">
        <v>418</v>
      </c>
    </row>
    <row r="20" spans="1:8" ht="60" customHeight="1">
      <c r="A20" s="10"/>
      <c r="B20" s="10"/>
      <c r="C20" s="10"/>
      <c r="D20" s="32"/>
      <c r="E20" s="40"/>
      <c r="F20" s="25"/>
      <c r="G20" s="10"/>
      <c r="H20" s="10"/>
    </row>
    <row r="21" spans="1:8" ht="60" customHeight="1">
      <c r="A21" s="10"/>
      <c r="B21" s="10"/>
      <c r="C21" s="10"/>
      <c r="D21" s="32"/>
      <c r="E21" s="40"/>
      <c r="F21" s="25"/>
      <c r="G21" s="10"/>
      <c r="H21" s="10"/>
    </row>
    <row r="22" spans="1:8" ht="60" customHeight="1">
      <c r="A22" s="10"/>
      <c r="B22" s="10"/>
      <c r="C22" s="10"/>
      <c r="D22" s="32"/>
      <c r="E22" s="40"/>
      <c r="F22" s="25"/>
      <c r="G22" s="10"/>
      <c r="H22" s="10"/>
    </row>
    <row r="23" spans="1:8" ht="60" customHeight="1">
      <c r="A23" s="10"/>
      <c r="B23" s="10"/>
      <c r="C23" s="10"/>
      <c r="D23" s="32"/>
      <c r="E23" s="40"/>
      <c r="F23" s="25"/>
      <c r="G23" s="10"/>
      <c r="H23" s="10"/>
    </row>
    <row r="24" spans="1:8" ht="60" customHeight="1">
      <c r="A24" s="10"/>
      <c r="B24" s="10"/>
      <c r="C24" s="10"/>
      <c r="D24" s="32"/>
      <c r="E24" s="40"/>
      <c r="F24" s="25"/>
      <c r="G24" s="10"/>
      <c r="H24" s="10"/>
    </row>
    <row r="25" spans="1:8" ht="60" customHeight="1">
      <c r="A25" s="10"/>
      <c r="B25" s="10"/>
      <c r="C25" s="10"/>
      <c r="D25" s="32"/>
      <c r="E25" s="40"/>
      <c r="F25" s="25"/>
      <c r="G25" s="10"/>
      <c r="H25" s="10"/>
    </row>
    <row r="26" spans="1:8" ht="60" customHeight="1">
      <c r="A26" s="10"/>
      <c r="B26" s="10"/>
      <c r="C26" s="10"/>
      <c r="D26" s="32"/>
      <c r="E26" s="40"/>
      <c r="F26" s="25"/>
      <c r="G26" s="10"/>
      <c r="H26" s="10"/>
    </row>
    <row r="27" spans="1:8" ht="60" customHeight="1">
      <c r="A27" s="10"/>
      <c r="B27" s="10"/>
      <c r="C27" s="10"/>
      <c r="D27" s="32"/>
      <c r="E27" s="40"/>
      <c r="F27" s="25"/>
      <c r="G27" s="10"/>
      <c r="H27" s="10"/>
    </row>
    <row r="29" spans="1:8">
      <c r="A29" s="2" t="s">
        <v>419</v>
      </c>
    </row>
    <row r="30" spans="1:8" ht="32.1" customHeight="1">
      <c r="A30" s="24" t="s">
        <v>412</v>
      </c>
      <c r="B30" s="24" t="s">
        <v>420</v>
      </c>
      <c r="C30" s="24" t="s">
        <v>421</v>
      </c>
      <c r="D30" s="24" t="s">
        <v>353</v>
      </c>
      <c r="E30" s="24"/>
      <c r="F30" s="24"/>
      <c r="G30" s="24" t="s">
        <v>422</v>
      </c>
      <c r="H30" s="24" t="s">
        <v>423</v>
      </c>
    </row>
    <row r="31" spans="1:8" ht="75" customHeight="1">
      <c r="A31" s="10"/>
      <c r="B31" s="10"/>
      <c r="C31" s="10"/>
      <c r="D31" s="10"/>
      <c r="E31" s="10"/>
      <c r="F31" s="10"/>
      <c r="G31" s="10"/>
      <c r="H31" s="10"/>
    </row>
    <row r="32" spans="1:8" ht="75" customHeight="1">
      <c r="A32" s="10"/>
      <c r="B32" s="10"/>
      <c r="C32" s="10"/>
      <c r="D32" s="10"/>
      <c r="E32" s="10"/>
      <c r="F32" s="10"/>
      <c r="G32" s="10"/>
      <c r="H32" s="10"/>
    </row>
    <row r="33" spans="1:8" ht="75" customHeight="1">
      <c r="A33" s="10"/>
      <c r="B33" s="10"/>
      <c r="C33" s="10"/>
      <c r="D33" s="10"/>
      <c r="E33" s="10"/>
      <c r="F33" s="10"/>
      <c r="G33" s="10"/>
      <c r="H33" s="10"/>
    </row>
    <row r="34" spans="1:8" ht="75" customHeight="1">
      <c r="A34" s="10"/>
      <c r="B34" s="10"/>
      <c r="C34" s="10"/>
      <c r="D34" s="10"/>
      <c r="E34" s="10"/>
      <c r="F34" s="10"/>
      <c r="G34" s="10"/>
      <c r="H34" s="10"/>
    </row>
    <row r="35" spans="1:8" ht="75" customHeight="1">
      <c r="A35" s="10"/>
      <c r="B35" s="10"/>
      <c r="C35" s="10"/>
      <c r="D35" s="10"/>
      <c r="E35" s="10"/>
      <c r="F35" s="10"/>
      <c r="G35" s="10"/>
      <c r="H35" s="10"/>
    </row>
    <row r="36" spans="1:8" ht="75" customHeight="1">
      <c r="A36" s="10"/>
      <c r="B36" s="10"/>
      <c r="C36" s="10"/>
      <c r="D36" s="10"/>
      <c r="E36" s="10"/>
      <c r="F36" s="10"/>
      <c r="G36" s="10"/>
      <c r="H36" s="10"/>
    </row>
    <row r="37" spans="1:8" ht="75" customHeight="1">
      <c r="A37" s="10"/>
      <c r="B37" s="10"/>
      <c r="C37" s="10"/>
      <c r="D37" s="10"/>
      <c r="E37" s="10"/>
      <c r="F37" s="10"/>
      <c r="G37" s="10"/>
      <c r="H37" s="10"/>
    </row>
    <row r="38" spans="1:8" ht="75" customHeight="1">
      <c r="A38" s="10"/>
      <c r="B38" s="10"/>
      <c r="C38" s="10"/>
      <c r="D38" s="10"/>
      <c r="E38" s="10"/>
      <c r="F38" s="10"/>
      <c r="G38" s="10"/>
      <c r="H38" s="10"/>
    </row>
    <row r="39" spans="1:8" ht="75" customHeight="1">
      <c r="A39" s="10"/>
      <c r="B39" s="10"/>
      <c r="C39" s="10"/>
      <c r="D39" s="10"/>
      <c r="E39" s="10"/>
      <c r="F39" s="10"/>
      <c r="G39" s="10"/>
      <c r="H39" s="10"/>
    </row>
    <row r="40" spans="1:8" ht="75" customHeight="1">
      <c r="A40" s="10"/>
      <c r="B40" s="10"/>
      <c r="C40" s="10"/>
      <c r="D40" s="10"/>
      <c r="E40" s="10"/>
      <c r="F40" s="10"/>
      <c r="G40" s="10"/>
      <c r="H40" s="10"/>
    </row>
    <row r="42" spans="1:8">
      <c r="A42" s="2" t="s">
        <v>424</v>
      </c>
    </row>
    <row r="43" spans="1:8" ht="32.1" customHeight="1">
      <c r="A43" s="24" t="s">
        <v>425</v>
      </c>
      <c r="B43" s="24" t="s">
        <v>420</v>
      </c>
      <c r="C43" s="24" t="s">
        <v>426</v>
      </c>
      <c r="D43" s="24" t="s">
        <v>427</v>
      </c>
      <c r="E43" s="24"/>
      <c r="F43" s="24"/>
      <c r="G43" s="24" t="s">
        <v>428</v>
      </c>
      <c r="H43" s="24" t="s">
        <v>429</v>
      </c>
    </row>
    <row r="44" spans="1:8" ht="75" customHeight="1">
      <c r="A44" s="10"/>
      <c r="B44" s="10"/>
      <c r="C44" s="10"/>
      <c r="D44" s="10"/>
      <c r="E44" s="10"/>
      <c r="F44" s="10"/>
      <c r="G44" s="10"/>
      <c r="H44" s="10"/>
    </row>
    <row r="45" spans="1:8" ht="75" customHeight="1">
      <c r="A45" s="10"/>
      <c r="B45" s="10"/>
      <c r="C45" s="10"/>
      <c r="D45" s="10"/>
      <c r="E45" s="10"/>
      <c r="F45" s="10"/>
      <c r="G45" s="10"/>
      <c r="H45" s="10"/>
    </row>
    <row r="46" spans="1:8" ht="75" customHeight="1">
      <c r="A46" s="10"/>
      <c r="B46" s="10"/>
      <c r="C46" s="10"/>
      <c r="D46" s="10"/>
      <c r="E46" s="10"/>
      <c r="F46" s="10"/>
      <c r="G46" s="10"/>
      <c r="H46" s="10"/>
    </row>
    <row r="47" spans="1:8" ht="75" customHeight="1">
      <c r="A47" s="10"/>
      <c r="B47" s="10"/>
      <c r="C47" s="10"/>
      <c r="D47" s="10"/>
      <c r="E47" s="10"/>
      <c r="F47" s="10"/>
      <c r="G47" s="10"/>
      <c r="H47" s="10"/>
    </row>
    <row r="48" spans="1:8" ht="75" customHeight="1">
      <c r="A48" s="10"/>
      <c r="B48" s="10"/>
      <c r="C48" s="10"/>
      <c r="D48" s="10"/>
      <c r="E48" s="10"/>
      <c r="F48" s="10"/>
      <c r="G48" s="10"/>
      <c r="H48" s="10"/>
    </row>
    <row r="49" spans="1:8" ht="75" customHeight="1">
      <c r="A49" s="10"/>
      <c r="B49" s="10"/>
      <c r="C49" s="10"/>
      <c r="D49" s="10"/>
      <c r="E49" s="10"/>
      <c r="F49" s="10"/>
      <c r="G49" s="10"/>
      <c r="H49" s="10"/>
    </row>
    <row r="50" spans="1:8" ht="75" customHeight="1">
      <c r="A50" s="10"/>
      <c r="B50" s="10"/>
      <c r="C50" s="10"/>
      <c r="D50" s="10"/>
      <c r="E50" s="10"/>
      <c r="F50" s="10"/>
      <c r="G50" s="10"/>
      <c r="H50" s="10"/>
    </row>
    <row r="51" spans="1:8" ht="75" customHeight="1">
      <c r="A51" s="10"/>
      <c r="B51" s="10"/>
      <c r="C51" s="10"/>
      <c r="D51" s="10"/>
      <c r="E51" s="10"/>
      <c r="F51" s="10"/>
      <c r="G51" s="10"/>
      <c r="H51" s="10"/>
    </row>
    <row r="54" spans="1:8" ht="32.1" customHeight="1">
      <c r="A54" s="24" t="s">
        <v>430</v>
      </c>
      <c r="B54" s="24" t="s">
        <v>357</v>
      </c>
      <c r="C54" s="24" t="s">
        <v>431</v>
      </c>
      <c r="D54" s="24" t="s">
        <v>414</v>
      </c>
      <c r="E54" s="24"/>
      <c r="F54" s="24"/>
      <c r="G54" s="24" t="s">
        <v>96</v>
      </c>
      <c r="H54" s="24" t="s">
        <v>418</v>
      </c>
    </row>
    <row r="55" spans="1:8" ht="60" customHeight="1">
      <c r="A55" s="10"/>
      <c r="B55" s="10"/>
      <c r="C55" s="10"/>
      <c r="D55" s="32"/>
      <c r="E55" s="10"/>
      <c r="F55" s="10"/>
      <c r="G55" s="10"/>
      <c r="H55" s="10"/>
    </row>
    <row r="56" spans="1:8" ht="60" customHeight="1">
      <c r="A56" s="10"/>
      <c r="B56" s="10"/>
      <c r="C56" s="10"/>
      <c r="D56" s="32"/>
      <c r="E56" s="10"/>
      <c r="F56" s="10"/>
      <c r="G56" s="10"/>
      <c r="H56" s="10"/>
    </row>
    <row r="57" spans="1:8" ht="60" customHeight="1">
      <c r="A57" s="10"/>
      <c r="B57" s="10"/>
      <c r="C57" s="10"/>
      <c r="D57" s="32"/>
      <c r="E57" s="10"/>
      <c r="F57" s="10"/>
      <c r="G57" s="10"/>
      <c r="H57" s="10"/>
    </row>
    <row r="58" spans="1:8" ht="60" customHeight="1">
      <c r="A58" s="10"/>
      <c r="B58" s="10"/>
      <c r="C58" s="10"/>
      <c r="D58" s="32"/>
      <c r="E58" s="10"/>
      <c r="F58" s="10"/>
      <c r="G58" s="10"/>
      <c r="H58" s="10"/>
    </row>
    <row r="59" spans="1:8" ht="60" customHeight="1">
      <c r="A59" s="10"/>
      <c r="B59" s="10"/>
      <c r="C59" s="10"/>
      <c r="D59" s="32"/>
      <c r="E59" s="10"/>
      <c r="F59" s="10"/>
      <c r="G59" s="10"/>
      <c r="H59" s="10"/>
    </row>
    <row r="60" spans="1:8" ht="60" customHeight="1">
      <c r="A60" s="10"/>
      <c r="B60" s="10"/>
      <c r="C60" s="10"/>
      <c r="D60" s="32"/>
      <c r="E60" s="10"/>
      <c r="F60" s="10"/>
      <c r="G60" s="10"/>
      <c r="H60" s="10"/>
    </row>
    <row r="62" spans="1:8">
      <c r="A62" s="26" t="s">
        <v>432</v>
      </c>
    </row>
  </sheetData>
  <dataValidations count="1">
    <dataValidation type="list" allowBlank="1" errorTitle="Ongeldige waarde" error="Kies een waarde uit de lijst." sqref="D55:D60" xr:uid="{00000000-0002-0000-0800-000000000000}">
      <formula1>"Waargemaakt,Gedeeltelijk,Niet waargemaakt,Onbekend"</formula1>
    </dataValidation>
  </dataValidation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42"/>
  <sheetViews>
    <sheetView topLeftCell="A32" workbookViewId="0">
      <selection activeCell="C42" sqref="C42"/>
    </sheetView>
  </sheetViews>
  <sheetFormatPr defaultRowHeight="15"/>
  <cols>
    <col min="1" max="1" width="50" customWidth="1"/>
    <col min="2" max="2" width="18" customWidth="1"/>
    <col min="3" max="3" width="64" customWidth="1"/>
    <col min="4" max="6" width="14" customWidth="1"/>
  </cols>
  <sheetData>
    <row r="1" spans="1:3">
      <c r="A1" s="2" t="s">
        <v>433</v>
      </c>
    </row>
    <row r="2" spans="1:3">
      <c r="A2" s="9" t="s">
        <v>434</v>
      </c>
      <c r="B2" s="21" t="str">
        <f>IF(Invoer!$B$15="","",Invoer!$B$15)</f>
        <v/>
      </c>
    </row>
    <row r="3" spans="1:3">
      <c r="A3" s="9" t="s">
        <v>435</v>
      </c>
      <c r="B3" s="55" t="str">
        <f>IF(Invoer!$B$16="","",Invoer!$B$16)</f>
        <v/>
      </c>
    </row>
    <row r="4" spans="1:3">
      <c r="A4" s="9" t="s">
        <v>436</v>
      </c>
      <c r="B4" s="14"/>
    </row>
    <row r="5" spans="1:3">
      <c r="A5" s="9" t="s">
        <v>437</v>
      </c>
      <c r="B5" s="19" t="str">
        <f>IF(OR(Invoer!$B$15="",'Technisch en instap'!$B$4="",'Technisch en instap'!$B$4=0),"",Invoer!$B$15/'Technisch en instap'!$B$4-1)</f>
        <v/>
      </c>
    </row>
    <row r="6" spans="1:3" ht="25.5">
      <c r="A6" s="9" t="s">
        <v>438</v>
      </c>
      <c r="B6" s="16"/>
      <c r="C6" s="11" t="s">
        <v>439</v>
      </c>
    </row>
    <row r="7" spans="1:3">
      <c r="A7" s="9" t="s">
        <v>440</v>
      </c>
      <c r="B7" s="10"/>
    </row>
    <row r="8" spans="1:3">
      <c r="A8" s="9" t="s">
        <v>441</v>
      </c>
      <c r="B8" s="14"/>
    </row>
    <row r="9" spans="1:3">
      <c r="A9" s="9" t="s">
        <v>442</v>
      </c>
      <c r="B9" s="14"/>
    </row>
    <row r="10" spans="1:3" ht="25.5">
      <c r="A10" s="9" t="s">
        <v>443</v>
      </c>
      <c r="B10" s="20" t="str">
        <f>IF(OR(Invoer!$B$15="",'Technisch en instap'!$B$8="",'Technisch en instap'!$B$9="",'Technisch en instap'!$B$8='Technisch en instap'!$B$9),"",(Invoer!$B$15-'Technisch en instap'!$B$9)/('Technisch en instap'!$B$8-'Technisch en instap'!$B$9))</f>
        <v/>
      </c>
    </row>
    <row r="11" spans="1:3">
      <c r="A11" s="9" t="s">
        <v>444</v>
      </c>
      <c r="B11" s="10"/>
    </row>
    <row r="12" spans="1:3">
      <c r="A12" s="9" t="s">
        <v>445</v>
      </c>
      <c r="B12" s="10"/>
    </row>
    <row r="13" spans="1:3" ht="75" customHeight="1">
      <c r="A13" s="9" t="s">
        <v>446</v>
      </c>
      <c r="B13" s="10"/>
    </row>
    <row r="14" spans="1:3">
      <c r="A14" s="9" t="s">
        <v>447</v>
      </c>
      <c r="B14" s="54"/>
    </row>
    <row r="15" spans="1:3">
      <c r="A15" s="9" t="s">
        <v>448</v>
      </c>
      <c r="B15" s="54"/>
    </row>
    <row r="16" spans="1:3" ht="25.5">
      <c r="A16" s="9" t="s">
        <v>449</v>
      </c>
      <c r="B16" s="56" t="str">
        <f>IF(OR('Technisch en instap'!$B$14="",'Technisch en instap'!$B$15="",'Technisch en instap'!$B$14=0),"",'Technisch en instap'!$B$15/('Technisch en instap'!$B$14*0.1))</f>
        <v/>
      </c>
      <c r="C16" s="11" t="s">
        <v>450</v>
      </c>
    </row>
    <row r="18" spans="1:3">
      <c r="A18" s="2" t="s">
        <v>451</v>
      </c>
    </row>
    <row r="19" spans="1:3" ht="90" customHeight="1">
      <c r="A19" s="9" t="s">
        <v>452</v>
      </c>
      <c r="B19" s="10"/>
    </row>
    <row r="20" spans="1:3" ht="60" customHeight="1">
      <c r="A20" s="9" t="s">
        <v>453</v>
      </c>
      <c r="B20" s="10"/>
    </row>
    <row r="22" spans="1:3">
      <c r="A22" s="2" t="s">
        <v>454</v>
      </c>
    </row>
    <row r="23" spans="1:3" ht="25.5">
      <c r="A23" s="9" t="s">
        <v>455</v>
      </c>
      <c r="B23" s="21" t="str">
        <f>IF(Model!$B$60="","",Model!$B$60)</f>
        <v/>
      </c>
      <c r="C23" s="11" t="s">
        <v>456</v>
      </c>
    </row>
    <row r="24" spans="1:3" ht="25.5">
      <c r="A24" s="9" t="s">
        <v>457</v>
      </c>
      <c r="B24" s="21" t="str">
        <f>IF(Model!$C$60="","",Model!$C$60)</f>
        <v/>
      </c>
    </row>
    <row r="25" spans="1:3" ht="25.5">
      <c r="A25" s="9" t="s">
        <v>458</v>
      </c>
      <c r="B25" s="53" t="str">
        <f>IF(OR(Invoer!$B$15="",'Technisch en instap'!$B$23="",'Technisch en instap'!$B$24=""),"",IF(Invoer!$B$15&lt;'Technisch en instap'!$B$23,"Onder de zone",IF(Invoer!$B$15&lt;='Technisch en instap'!$B$24,"In de koopzone","Boven de zone: watchlist")))</f>
        <v/>
      </c>
      <c r="C25" s="11" t="s">
        <v>459</v>
      </c>
    </row>
    <row r="26" spans="1:3" ht="25.5">
      <c r="A26" s="9" t="s">
        <v>460</v>
      </c>
      <c r="B26" s="10"/>
      <c r="C26" s="11" t="s">
        <v>461</v>
      </c>
    </row>
    <row r="27" spans="1:3">
      <c r="A27" s="9" t="s">
        <v>462</v>
      </c>
      <c r="B27" s="13"/>
    </row>
    <row r="29" spans="1:3">
      <c r="A29" s="2" t="s">
        <v>463</v>
      </c>
    </row>
    <row r="30" spans="1:3" ht="75" customHeight="1">
      <c r="A30" s="9" t="s">
        <v>464</v>
      </c>
      <c r="B30" s="10"/>
    </row>
    <row r="31" spans="1:3" ht="75" customHeight="1">
      <c r="A31" s="9" t="s">
        <v>465</v>
      </c>
      <c r="B31" s="10"/>
    </row>
    <row r="32" spans="1:3" ht="75" customHeight="1">
      <c r="A32" s="9" t="s">
        <v>466</v>
      </c>
      <c r="B32" s="10"/>
    </row>
    <row r="33" spans="1:6" ht="75" customHeight="1">
      <c r="A33" s="9" t="s">
        <v>467</v>
      </c>
      <c r="B33" s="10"/>
    </row>
    <row r="35" spans="1:6">
      <c r="A35" s="2" t="s">
        <v>468</v>
      </c>
    </row>
    <row r="36" spans="1:6" ht="32.1" customHeight="1">
      <c r="A36" s="24" t="s">
        <v>469</v>
      </c>
      <c r="B36" s="24" t="s">
        <v>302</v>
      </c>
      <c r="C36" s="24" t="s">
        <v>470</v>
      </c>
      <c r="D36" s="24" t="s">
        <v>94</v>
      </c>
      <c r="E36" s="24" t="s">
        <v>471</v>
      </c>
      <c r="F36" s="24"/>
    </row>
    <row r="37" spans="1:6" ht="45" customHeight="1">
      <c r="A37" s="10" t="s">
        <v>472</v>
      </c>
      <c r="B37" s="40"/>
      <c r="C37" s="57"/>
      <c r="D37" s="45" t="str">
        <f>IF(OR(B37="",C37=""),"",B37*C37)</f>
        <v/>
      </c>
      <c r="E37" s="25"/>
    </row>
    <row r="38" spans="1:6" ht="45" customHeight="1">
      <c r="A38" s="10" t="s">
        <v>473</v>
      </c>
      <c r="B38" s="40"/>
      <c r="C38" s="57"/>
      <c r="D38" s="45" t="str">
        <f>IF(OR(B38="",C38=""),"",B38*C38)</f>
        <v/>
      </c>
      <c r="E38" s="25"/>
    </row>
    <row r="39" spans="1:6" ht="45" customHeight="1">
      <c r="A39" s="10" t="s">
        <v>474</v>
      </c>
      <c r="B39" s="40"/>
      <c r="C39" s="57"/>
      <c r="D39" s="45" t="str">
        <f>IF(OR(B39="",C39=""),"",B39*C39)</f>
        <v/>
      </c>
      <c r="E39" s="25"/>
    </row>
    <row r="41" spans="1:6" ht="75" customHeight="1">
      <c r="A41" s="9" t="s">
        <v>475</v>
      </c>
      <c r="B41" s="10"/>
    </row>
    <row r="42" spans="1:6" ht="25.5">
      <c r="A42" s="9" t="s">
        <v>476</v>
      </c>
      <c r="B42" s="13"/>
    </row>
  </sheetData>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39"/>
  <sheetViews>
    <sheetView workbookViewId="0">
      <pane ySplit="1" topLeftCell="A18" activePane="bottomLeft" state="frozen"/>
      <selection pane="bottomLeft" activeCell="C45" sqref="C45"/>
    </sheetView>
  </sheetViews>
  <sheetFormatPr defaultRowHeight="15"/>
  <cols>
    <col min="1" max="1" width="68.5703125" customWidth="1"/>
    <col min="2" max="2" width="24" customWidth="1"/>
    <col min="3" max="3" width="70" customWidth="1"/>
    <col min="4" max="13" width="9" customWidth="1"/>
  </cols>
  <sheetData>
    <row r="1" spans="1:3" ht="32.1" customHeight="1">
      <c r="A1" s="24" t="s">
        <v>477</v>
      </c>
      <c r="B1" s="24" t="s">
        <v>355</v>
      </c>
      <c r="C1" s="24" t="s">
        <v>96</v>
      </c>
    </row>
    <row r="2" spans="1:3" ht="25.5">
      <c r="A2" s="3" t="s">
        <v>478</v>
      </c>
      <c r="B2" s="58" t="str">
        <f>IF(Invoer!$B$10&lt;&gt;"","In orde","Kies duizenden of miljoenen")</f>
        <v>Kies duizenden of miljoenen</v>
      </c>
      <c r="C2" s="11"/>
    </row>
    <row r="3" spans="1:3">
      <c r="A3" s="3" t="s">
        <v>479</v>
      </c>
      <c r="B3" s="58" t="str">
        <f>IF(Invoer!$B$15&lt;&gt;"","In orde","Koppel of vul de koers in")</f>
        <v>Koppel of vul de koers in</v>
      </c>
      <c r="C3" s="11"/>
    </row>
    <row r="4" spans="1:3" ht="25.5">
      <c r="A4" s="3" t="s">
        <v>480</v>
      </c>
      <c r="B4" s="58" t="str">
        <f>IF(AND(Invoer!$B$19&lt;&gt;"",Invoer!$B$19&gt;0),"In orde","Vul het verwaterde aantal aandelen in")</f>
        <v>Vul het verwaterde aantal aandelen in</v>
      </c>
      <c r="C4" s="11"/>
    </row>
    <row r="5" spans="1:3">
      <c r="A5" s="3" t="s">
        <v>481</v>
      </c>
      <c r="B5" s="58" t="str">
        <f>IF(COUNT(Invoer!$B$24,Invoer!$B$25,Invoer!$B$26)=3,"In orde","Vul het vertrekpunt in")</f>
        <v>Vul het vertrekpunt in</v>
      </c>
      <c r="C5" s="11"/>
    </row>
    <row r="6" spans="1:3" ht="25.5">
      <c r="A6" s="3" t="s">
        <v>482</v>
      </c>
      <c r="B6" s="58" t="str">
        <f>IF(Invoer!$B$21="","Nog niet te controleren",IF(ABS(Invoer!$B$21)&lt;=0.05,"In orde","Controleer eenheid, aandelenreeks en valuta"))</f>
        <v>Nog niet te controleren</v>
      </c>
      <c r="C6" s="11" t="s">
        <v>483</v>
      </c>
    </row>
    <row r="7" spans="1:3">
      <c r="A7" s="3" t="s">
        <v>484</v>
      </c>
      <c r="B7" s="58" t="str">
        <f>IF(OR(Invoer!$B$24="",Historie!$K$3=""),"Nog niet te controleren",IF(ABS(Invoer!$B$24/Historie!$K$3-1)&lt;=0.02,"In orde","Verschil: jaar 0 is de laatste twaalf maanden, of een tikfout"))</f>
        <v>Nog niet te controleren</v>
      </c>
      <c r="C7" s="11" t="s">
        <v>485</v>
      </c>
    </row>
    <row r="8" spans="1:3" ht="25.5">
      <c r="A8" s="3" t="s">
        <v>486</v>
      </c>
      <c r="B8" s="58" t="str">
        <f>IF(B9="","Bevestig dit hieronder met Ja",IF(B9="Ja","In orde","Haal de leases uit de financiële schuld"))</f>
        <v>Bevestig dit hieronder met Ja</v>
      </c>
      <c r="C8" s="11" t="s">
        <v>487</v>
      </c>
    </row>
    <row r="9" spans="1:3">
      <c r="A9" s="30" t="s">
        <v>488</v>
      </c>
      <c r="B9" s="32"/>
    </row>
    <row r="10" spans="1:3" ht="25.5">
      <c r="A10" s="3" t="s">
        <v>489</v>
      </c>
      <c r="B10" s="58" t="str">
        <f>IF(AND(COUNT(Parameters!$C$11:$M$11)=11,COUNT(Parameters!$C$12:$M$12)=11,COUNT(Parameters!$C$14:$M$14)=11,COUNT(Parameters!$C$16:$M$16)=11),"In orde","Nog lege parameters")</f>
        <v>Nog lege parameters</v>
      </c>
      <c r="C10" s="11"/>
    </row>
    <row r="11" spans="1:3">
      <c r="A11" s="3" t="s">
        <v>490</v>
      </c>
      <c r="B11" s="58" t="str">
        <f>IF(AND(Parameters!$B$21&lt;&gt;"",Parameters!$B$22&lt;&gt;"",Parameters!$B$21&gt;Parameters!$B$22),"In orde","r moet groter zijn dan g")</f>
        <v>In orde</v>
      </c>
      <c r="C11" s="11"/>
    </row>
    <row r="12" spans="1:3">
      <c r="A12" s="3" t="s">
        <v>491</v>
      </c>
      <c r="B12" s="58" t="str">
        <f>IF(Parameters!$B$21="","Vul de discount rate in",IF(AND(Parameters!$B$21&gt;=0.08,Parameters!$B$21&lt;=0.12),"In orde","Buiten mijn gewone band: leg uit waarom"))</f>
        <v>In orde</v>
      </c>
      <c r="C12" s="11"/>
    </row>
    <row r="13" spans="1:3">
      <c r="A13" s="3" t="s">
        <v>492</v>
      </c>
      <c r="B13" s="58" t="str">
        <f>IF(Parameters!$B$20="","Vul de exit P/E in",IF(Parameters!$B$20&lt;=20,"In orde","Boven 20: leg uit waarom"))</f>
        <v>Vul de exit P/E in</v>
      </c>
      <c r="C13" s="11"/>
    </row>
    <row r="14" spans="1:3" ht="25.5">
      <c r="A14" s="3" t="s">
        <v>493</v>
      </c>
      <c r="B14" s="58" t="str">
        <f>IF(AND(COUNT(Parameters!$C$35:$M$35)=11,COUNT(Parameters!$C$36:$M$36)=11,COUNT(Parameters!$C$38:$M$38)=11,COUNT(Parameters!$C$40:$M$40)=11),"In orde","Nog lege parameters")</f>
        <v>Nog lege parameters</v>
      </c>
      <c r="C14" s="11"/>
    </row>
    <row r="15" spans="1:3">
      <c r="A15" s="3" t="s">
        <v>494</v>
      </c>
      <c r="B15" s="58" t="str">
        <f>IF(AND(Parameters!$B$45&lt;&gt;"",Parameters!$B$46&lt;&gt;"",Parameters!$B$45&gt;Parameters!$B$46),"In orde","r moet groter zijn dan g")</f>
        <v>In orde</v>
      </c>
      <c r="C15" s="11"/>
    </row>
    <row r="16" spans="1:3">
      <c r="A16" s="3" t="s">
        <v>495</v>
      </c>
      <c r="B16" s="58" t="str">
        <f>IF(Parameters!$B$45="","Vul de discount rate in",IF(AND(Parameters!$B$45&gt;=0.08,Parameters!$B$45&lt;=0.12),"In orde","Buiten mijn gewone band: leg uit waarom"))</f>
        <v>In orde</v>
      </c>
      <c r="C16" s="11"/>
    </row>
    <row r="17" spans="1:13">
      <c r="A17" s="3" t="s">
        <v>496</v>
      </c>
      <c r="B17" s="58" t="str">
        <f>IF(Parameters!$B$44="","Vul de exit P/E in",IF(Parameters!$B$44&lt;=20,"In orde","Boven 20: leg uit waarom"))</f>
        <v>Vul de exit P/E in</v>
      </c>
      <c r="C17" s="11"/>
    </row>
    <row r="18" spans="1:13" ht="25.5">
      <c r="A18" s="3" t="s">
        <v>497</v>
      </c>
      <c r="B18" s="58" t="str">
        <f>IF(AND(COUNT(Parameters!$C$59:$M$59)=11,COUNT(Parameters!$C$60:$M$60)=11,COUNT(Parameters!$C$62:$M$62)=11,COUNT(Parameters!$C$64:$M$64)=11),"In orde","Nog lege parameters")</f>
        <v>Nog lege parameters</v>
      </c>
      <c r="C18" s="11"/>
    </row>
    <row r="19" spans="1:13">
      <c r="A19" s="3" t="s">
        <v>498</v>
      </c>
      <c r="B19" s="58" t="str">
        <f>IF(AND(Parameters!$B$69&lt;&gt;"",Parameters!$B$70&lt;&gt;"",Parameters!$B$69&gt;Parameters!$B$70),"In orde","r moet groter zijn dan g")</f>
        <v>In orde</v>
      </c>
      <c r="C19" s="11"/>
    </row>
    <row r="20" spans="1:13">
      <c r="A20" s="3" t="s">
        <v>499</v>
      </c>
      <c r="B20" s="58" t="str">
        <f>IF(Parameters!$B$69="","Vul de discount rate in",IF(AND(Parameters!$B$69&gt;=0.08,Parameters!$B$69&lt;=0.12),"In orde","Buiten mijn gewone band: leg uit waarom"))</f>
        <v>In orde</v>
      </c>
      <c r="C20" s="11"/>
    </row>
    <row r="21" spans="1:13">
      <c r="A21" s="3" t="s">
        <v>500</v>
      </c>
      <c r="B21" s="58" t="str">
        <f>IF(Parameters!$B$68="","Vul de exit P/E in",IF(Parameters!$B$68&lt;=20,"In orde","Boven 20: leg uit waarom"))</f>
        <v>Vul de exit P/E in</v>
      </c>
      <c r="C21" s="11"/>
    </row>
    <row r="22" spans="1:13">
      <c r="A22" s="3" t="s">
        <v>501</v>
      </c>
      <c r="B22" s="58" t="str">
        <f>IF(ABS(SUM(Parameters!$B$5,Parameters!$B$29,Parameters!$B$53)-1)&lt;0.001,"In orde","Gewichten tellen niet op tot 100 procent")</f>
        <v>In orde</v>
      </c>
      <c r="C22" s="11"/>
    </row>
    <row r="23" spans="1:13">
      <c r="A23" s="3" t="s">
        <v>541</v>
      </c>
      <c r="B23" s="58" t="str">
        <f>IF(COUNT(Model!$B$5:$M$5)=12,"In orde","Rij 5 is niet compleet")</f>
        <v>Rij 5 is niet compleet</v>
      </c>
      <c r="C23" s="11"/>
    </row>
    <row r="24" spans="1:13" ht="25.5">
      <c r="A24" s="3" t="s">
        <v>502</v>
      </c>
      <c r="B24" s="58" t="str">
        <f>IF(SUMPRODUCT(--ISERROR(Model!$B$5:$M$61))=0,"In orde","Er staat een foutcel in Model: controleer de reeks")</f>
        <v>In orde</v>
      </c>
      <c r="C24" s="11" t="s">
        <v>503</v>
      </c>
    </row>
    <row r="25" spans="1:13">
      <c r="A25" s="3" t="s">
        <v>305</v>
      </c>
      <c r="B25" s="58" t="str">
        <f>IF(Model!$B$36="","Nog niet te berekenen",IF(Model!$B$36&lt;=0.75,"In orde","Hoog: de exit P/E draagt de uitkomst, onderbouw hem"))</f>
        <v>Nog niet te berekenen</v>
      </c>
      <c r="C25" s="11" t="s">
        <v>504</v>
      </c>
    </row>
    <row r="26" spans="1:13">
      <c r="A26" s="3" t="s">
        <v>505</v>
      </c>
      <c r="B26" s="58" t="str">
        <f>IF(Model!$B$45="","Nog niet te berekenen",IF(Model!$B$45&lt;=5,"In orde","Meer dan 5 punten boven Gordon: welke groei na jaar 11 rechtvaardigt dat?"))</f>
        <v>In orde</v>
      </c>
      <c r="C26" s="11"/>
    </row>
    <row r="27" spans="1:13" ht="25.5">
      <c r="A27" s="3" t="s">
        <v>506</v>
      </c>
      <c r="B27" s="58" t="str">
        <f>IF(COUNTIF('Rode vlaggen'!$D$2:$D$29,"Niet onderzocht")+COUNTBLANK('Rode vlaggen'!$D$2:$D$29)=0,"In orde","Nog niet alle rode vlaggen onderzocht")</f>
        <v>Nog niet alle rode vlaggen onderzocht</v>
      </c>
      <c r="C27" s="11"/>
    </row>
    <row r="28" spans="1:13">
      <c r="A28" s="3" t="s">
        <v>507</v>
      </c>
      <c r="B28" s="58">
        <f>COUNTIF('Rode vlaggen'!$D$2:$D$29,"Gevonden, ernstig")</f>
        <v>0</v>
      </c>
      <c r="C28" s="11" t="s">
        <v>508</v>
      </c>
    </row>
    <row r="30" spans="1:13">
      <c r="A30" s="2" t="s">
        <v>509</v>
      </c>
    </row>
    <row r="31" spans="1:13">
      <c r="A31" s="27" t="s">
        <v>510</v>
      </c>
      <c r="B31" s="59">
        <v>-100</v>
      </c>
      <c r="C31" s="59">
        <v>0</v>
      </c>
      <c r="D31" s="59">
        <v>0</v>
      </c>
      <c r="E31" s="59">
        <v>0</v>
      </c>
      <c r="F31" s="59">
        <v>0</v>
      </c>
      <c r="G31" s="59">
        <v>0</v>
      </c>
      <c r="H31" s="59">
        <v>0</v>
      </c>
      <c r="I31" s="59">
        <v>0</v>
      </c>
      <c r="J31" s="59">
        <v>0</v>
      </c>
      <c r="K31" s="59">
        <v>0</v>
      </c>
      <c r="L31" s="59">
        <v>0</v>
      </c>
      <c r="M31" s="59">
        <v>200</v>
      </c>
    </row>
    <row r="32" spans="1:13">
      <c r="A32" s="3" t="s">
        <v>511</v>
      </c>
      <c r="B32" s="58" t="str">
        <f>IF(ABS(IRR(B31:M31)-0.065)&lt;0.0001,"In orde: "&amp;TEXT(IRR(B31:M31),"0.00%"),"Afwijking: "&amp;TEXT(IRR(B31:M31),"0.00%"))</f>
        <v>In orde: 6.50%</v>
      </c>
      <c r="C32" s="11" t="s">
        <v>512</v>
      </c>
    </row>
    <row r="33" spans="1:3">
      <c r="A33" s="3" t="s">
        <v>513</v>
      </c>
      <c r="B33" s="58" t="str">
        <f>IF(ABS(3^(1/10)-1-0.1161)&lt;0.0001,"In orde: "&amp;TEXT(3^(1/10)-1,"0.00%"),"Afwijking")</f>
        <v>In orde: 11.61%</v>
      </c>
      <c r="C33" s="11"/>
    </row>
    <row r="34" spans="1:3">
      <c r="A34" s="3" t="s">
        <v>514</v>
      </c>
      <c r="B34" s="58" t="str">
        <f>IF(ABS(5^(1/10)-1-0.1746)&lt;0.0001,"In orde: "&amp;TEXT(5^(1/10)-1,"0.00%"),"Afwijking")</f>
        <v>In orde: 17.46%</v>
      </c>
      <c r="C34" s="11"/>
    </row>
    <row r="35" spans="1:3" ht="25.5">
      <c r="A35" s="3" t="s">
        <v>515</v>
      </c>
      <c r="B35" s="58" t="str">
        <f>IF(ABS(10*0.6*1.02/(0.1-0.02)-76.5)&lt;0.001,"In orde: "&amp;TEXT(10*0.6*1.02/(0.1-0.02),"0.00"),"Afwijking")</f>
        <v>In orde: 76.50</v>
      </c>
      <c r="C35" s="11"/>
    </row>
    <row r="36" spans="1:3">
      <c r="A36" s="3" t="s">
        <v>516</v>
      </c>
      <c r="B36" s="58" t="str">
        <f>IF(ABS(0.6*1.02/(0.1-0.02)-7.65)&lt;0.001,"In orde: "&amp;TEXT(0.6*1.02/(0.1-0.02),"0.00"),"Afwijking")</f>
        <v>In orde: 7.65</v>
      </c>
      <c r="C36" s="11"/>
    </row>
    <row r="37" spans="1:3">
      <c r="A37" s="3" t="s">
        <v>517</v>
      </c>
      <c r="B37" s="58" t="str">
        <f>IF(ABS(0.8*1.03/(0.1-0.03)-11.77)&lt;0.01,"In orde: "&amp;TEXT(0.8*1.03/(0.1-0.03),"0.00"),"Afwijking")</f>
        <v>In orde: 11.77</v>
      </c>
      <c r="C37" s="11"/>
    </row>
    <row r="39" spans="1:3">
      <c r="A39" s="30" t="s">
        <v>518</v>
      </c>
      <c r="B39" s="60" t="str">
        <f>COUNTIF(B2:B38,"In orde*")&amp;" van 31"</f>
        <v>15 van 31</v>
      </c>
      <c r="C39" s="26" t="s">
        <v>519</v>
      </c>
    </row>
  </sheetData>
  <dataValidations count="1">
    <dataValidation type="list" allowBlank="1" errorTitle="Ongeldige waarde" error="Kies een waarde uit de lijst." sqref="B9" xr:uid="{00000000-0002-0000-0A00-000000000000}">
      <formula1>"Ja,Nee"</formula1>
    </dataValidation>
  </dataValidations>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11</vt:i4>
      </vt:variant>
    </vt:vector>
  </HeadingPairs>
  <TitlesOfParts>
    <vt:vector size="11" baseType="lpstr">
      <vt:lpstr>Lees mij</vt:lpstr>
      <vt:lpstr>Invoer</vt:lpstr>
      <vt:lpstr>EV en kapitaalstructuur</vt:lpstr>
      <vt:lpstr>Historie</vt:lpstr>
      <vt:lpstr>Parameters</vt:lpstr>
      <vt:lpstr>Model</vt:lpstr>
      <vt:lpstr>Gevoeligheid</vt:lpstr>
      <vt:lpstr>Rode vlaggen</vt:lpstr>
      <vt:lpstr>Analisten</vt:lpstr>
      <vt:lpstr>Technisch en instap</vt:lpstr>
      <vt:lpstr>Controles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Kees van Wanrooij, Belegger Kees</dc:creator>
  <cp:lastModifiedBy>Kees van Wanrooij</cp:lastModifiedBy>
  <dcterms:created xsi:type="dcterms:W3CDTF">2026-09-12T12:23:40Z</dcterms:created>
  <dcterms:modified xsi:type="dcterms:W3CDTF">2026-09-13T11:50:55Z</dcterms:modified>
</cp:coreProperties>
</file>